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V:\State Wide\Traffic Analysis Toolbox\"/>
    </mc:Choice>
  </mc:AlternateContent>
  <workbookProtection workbookAlgorithmName="SHA-512" workbookHashValue="dVXBkOVZ/05lAegePM/Pul8zRWpBbM2uNOzTYJMGkw5g+gZt+fW5fDuW/o9wE+si8aZiDJhR+ECwmBHGuvxXlA==" workbookSaltValue="CvpVkt6YQdWUXmQm9kN6/A==" workbookSpinCount="100000" lockStructure="1"/>
  <bookViews>
    <workbookView xWindow="-120" yWindow="-120" windowWidth="20730" windowHeight="11160"/>
  </bookViews>
  <sheets>
    <sheet name="Overview" sheetId="23" r:id="rId1"/>
    <sheet name="READ ME" sheetId="22" r:id="rId2"/>
    <sheet name="GLOBAL INPUTS" sheetId="2" r:id="rId3"/>
    <sheet name=" SUMMARY OUTPUT" sheetId="14" r:id="rId4"/>
    <sheet name="SIGNAL" sheetId="10" r:id="rId5"/>
    <sheet name="TWSC" sheetId="13" r:id="rId6"/>
    <sheet name="TWSC-CALCS" sheetId="15" state="hidden" r:id="rId7"/>
    <sheet name="SL-ROUND" sheetId="9" r:id="rId8"/>
    <sheet name="ML-ROUND" sheetId="21" r:id="rId9"/>
    <sheet name="AWSC-SINGLE LANE" sheetId="12" r:id="rId10"/>
    <sheet name="RCUT" sheetId="1" r:id="rId11"/>
    <sheet name="MUT" sheetId="3" r:id="rId12"/>
    <sheet name="PMUT" sheetId="8" r:id="rId13"/>
    <sheet name="DDI" sheetId="4" r:id="rId14"/>
    <sheet name="DLT" sheetId="5" r:id="rId15"/>
    <sheet name="QRI-28" sheetId="6" r:id="rId16"/>
    <sheet name="QRI-24" sheetId="16" r:id="rId17"/>
    <sheet name="QRI-64" sheetId="17" r:id="rId18"/>
    <sheet name="QRI-68" sheetId="18" r:id="rId19"/>
    <sheet name="Jugh-F" sheetId="7" r:id="rId20"/>
    <sheet name="Jugh-R" sheetId="11" r:id="rId21"/>
    <sheet name="CONT-G-T" sheetId="20" r:id="rId22"/>
    <sheet name="BOWTIE" sheetId="19" r:id="rId23"/>
  </sheets>
  <externalReferences>
    <externalReference r:id="rId24"/>
    <externalReference r:id="rId25"/>
    <externalReference r:id="rId26"/>
    <externalReference r:id="rId27"/>
  </externalReferences>
  <definedNames>
    <definedName name="Accom.Drop">#REF!</definedName>
    <definedName name="AN">#REF!</definedName>
    <definedName name="AnalysisType">'[1]3 - Alt Num Lanes Input'!$M$16</definedName>
    <definedName name="ArrivalType">' SUMMARY OUTPUT'!$H$38:$H$39</definedName>
    <definedName name="Bench">[2]Refs!$D$2:$D$3</definedName>
    <definedName name="BusStop">[2]Refs!$B$2:$B$3</definedName>
    <definedName name="CLV_Limit">'[1]1 - Volume Input'!$AU$60</definedName>
    <definedName name="CLV_Limit_2">'[1]1 - Volume Input'!$AU$56</definedName>
    <definedName name="CLV_Limit_3">'[1]1 - Volume Input'!$AU$58</definedName>
    <definedName name="CLV_Limit_4">'[1]1 - Volume Input'!$AU$60</definedName>
    <definedName name="Conflicting_Vehicle_Type" comment="4 conflicting veh types">'[1]Crosswalks sheet'!$L$5:$L$8</definedName>
    <definedName name="Date">'[1]1 - Volume Input'!$M$14</definedName>
    <definedName name="DDI_Ramps">'[1]Multimodal Ped'!$AO$25</definedName>
    <definedName name="Diagonal_Ramps">'[1]Multimodal Ped'!$AO$21</definedName>
    <definedName name="EB_Growth_Factor">'[1]1 - Volume Input'!$AY$32</definedName>
    <definedName name="EB_Truck_Percentage">'[1]1 - Volume Input'!$AQ$32</definedName>
    <definedName name="EBL_Master">'[1]1 - Volume Input'!$AA$74</definedName>
    <definedName name="EBleftLanes">SIGNAL!$C$12</definedName>
    <definedName name="EBR_Master">'[1]1 - Volume Input'!$AQ$74</definedName>
    <definedName name="EBrightLanes">SIGNAL!$E$12</definedName>
    <definedName name="EBT_Master">'[1]1 - Volume Input'!$AI$74</definedName>
    <definedName name="EBU_Master">'[1]1 - Volume Input'!$S$74</definedName>
    <definedName name="Exp.drop">#REF!</definedName>
    <definedName name="FacilityType_Label_Rural2Ln">[3]Labels!$A$34</definedName>
    <definedName name="FacilityType_Label_RuralMultiLn">[3]Labels!$A$35</definedName>
    <definedName name="FacilityType_Label_Urban">[3]Labels!$A$36</definedName>
    <definedName name="Input_1Way2Way">'[3]Control Strategy Selection'!$D$10</definedName>
    <definedName name="Input_AGI_HasSchool">'[3]At-Grade Inputs'!$D$32</definedName>
    <definedName name="Input_AGI_NumABC">'[3]At-Grade Inputs'!$D$33</definedName>
    <definedName name="Input_AGI_NumBusStops">'[3]At-Grade Inputs'!$D$31</definedName>
    <definedName name="Input_AGI_R1_AADT_L1">'[3]At-Grade Inputs'!$L$37</definedName>
    <definedName name="Input_AGI_R1_AADT_L3">'[3]At-Grade Inputs'!$L$51</definedName>
    <definedName name="Input_AGI_R2_AADT_L1">'[3]At-Grade Inputs'!$N$37</definedName>
    <definedName name="Input_AGI_R2_AADT_L3">'[3]At-Grade Inputs'!$N$51</definedName>
    <definedName name="Input_AnalysisYearType">'[3]Control Strategy Selection'!$D$4</definedName>
    <definedName name="Input_Base_DAADTMajor">'[3]Control Strategy Selection'!$D$15</definedName>
    <definedName name="Input_Base_DAADTMinor">'[3]Control Strategy Selection'!$D$16</definedName>
    <definedName name="Input_Base_OAADTMajor">'[3]Control Strategy Selection'!$D$13</definedName>
    <definedName name="Input_Base_OAADTMinor">'[3]Control Strategy Selection'!$D$14</definedName>
    <definedName name="Input_D4TS_NLTOIn1">'[3]Ramp-Terminal Inputs'!$B$16</definedName>
    <definedName name="Input_D4TS_NLTOIn2">'[3]Ramp-Terminal Inputs'!$C$16</definedName>
    <definedName name="Input_D4TS_NLxst1">'[3]Ramp-Terminal Inputs'!$B$15</definedName>
    <definedName name="Input_D4TS_NLxst2">'[3]Ramp-Terminal Inputs'!$C$15</definedName>
    <definedName name="Input_D4TSA_NLTOIn1">'[3]Ramp-Terminal Inputs'!$D$16</definedName>
    <definedName name="Input_D4TSA_NLTOIn2">'[3]Ramp-Terminal Inputs'!$E$16</definedName>
    <definedName name="Input_D4TSA_NLxst1">'[3]Ramp-Terminal Inputs'!$D$15</definedName>
    <definedName name="Input_D4TSA_NLxst2">'[3]Ramp-Terminal Inputs'!$E$15</definedName>
    <definedName name="Input_DesignYear">'[3]Control Strategy Selection'!$D$6</definedName>
    <definedName name="Input_FacilityType">'[3]Control Strategy Selection'!$D$7</definedName>
    <definedName name="Input_Include_AS">'[3]Control Strategy Selection'!$B$22</definedName>
    <definedName name="Input_Include_MS">'[3]Control Strategy Selection'!$B$21</definedName>
    <definedName name="Input_Include_O1">'[3]Control Strategy Selection'!$B$31</definedName>
    <definedName name="Input_Include_O2">'[3]Control Strategy Selection'!$B$32</definedName>
    <definedName name="Input_Include_R1">'[3]Control Strategy Selection'!$B$23</definedName>
    <definedName name="Input_Include_R2">'[3]Control Strategy Selection'!$B$24</definedName>
    <definedName name="Input_Include_RTI_O1">'[3]Control Strategy Selection'!$B$68</definedName>
    <definedName name="Input_Include_RTI_O2">'[3]Control Strategy Selection'!$B$69</definedName>
    <definedName name="Input_Include_RTI_R1">'[3]Control Strategy Selection'!$B$66</definedName>
    <definedName name="Input_Include_RTI_R2">'[3]Control Strategy Selection'!$B$67</definedName>
    <definedName name="Input_Include_TS">'[3]Control Strategy Selection'!$B$19</definedName>
    <definedName name="Input_MajorApproachSpeed">'[3]Control Strategy Selection'!$D$12</definedName>
    <definedName name="Input_MajorStreetDirection">'[1]1 - Volume Input'!$M$18</definedName>
    <definedName name="Input_MinorStreetDirection">'[1]1 - Volume Input'!$BH$18</definedName>
    <definedName name="Input_MinorStreetLeg">'[1]1 - Volume Input'!$M$20</definedName>
    <definedName name="Input_NumLegs" localSheetId="0">'[3]Control Strategy Selection'!$D$9</definedName>
    <definedName name="Input_NumLegs">'[1]1 - Volume Input'!$M$16</definedName>
    <definedName name="Input_NumMajorLanes">'[3]Control Strategy Selection'!$D$11</definedName>
    <definedName name="Input_OpenYear">'[3]Control Strategy Selection'!$D$5</definedName>
    <definedName name="Input_RTI_AreaType">'[3]Control Strategy Selection'!$D$45</definedName>
    <definedName name="Input_RTI_DAADTEn1">'[3]Control Strategy Selection'!$D$56</definedName>
    <definedName name="Input_RTI_DAADTEn2">'[3]Control Strategy Selection'!$E$56</definedName>
    <definedName name="Input_RTI_DAADTEx1">'[3]Control Strategy Selection'!$D$55</definedName>
    <definedName name="Input_RTI_DAADTEx2">'[3]Control Strategy Selection'!$E$55</definedName>
    <definedName name="Input_RTI_DAADTIn1">'[3]Control Strategy Selection'!$D$53</definedName>
    <definedName name="Input_RTI_DAADTIn2">'[3]Control Strategy Selection'!$E$53</definedName>
    <definedName name="Input_RTI_DAADTOut1">'[3]Control Strategy Selection'!$D$54</definedName>
    <definedName name="Input_RTI_DAADTOut2">'[3]Control Strategy Selection'!$E$54</definedName>
    <definedName name="Input_RTI_OAADTEn1">'[3]Control Strategy Selection'!$D$51</definedName>
    <definedName name="Input_RTI_OAADTEn2">'[3]Control Strategy Selection'!$E$51</definedName>
    <definedName name="Input_RTI_OAADTEx1">'[3]Control Strategy Selection'!$D$50</definedName>
    <definedName name="Input_RTI_OAADTEx2">'[3]Control Strategy Selection'!$E$50</definedName>
    <definedName name="Input_RTI_OAADTIn1">'[3]Control Strategy Selection'!$D$48</definedName>
    <definedName name="Input_RTI_OAADTIn2">'[3]Control Strategy Selection'!$E$48</definedName>
    <definedName name="Input_RTI_OAADTOut1">'[3]Control Strategy Selection'!$D$49</definedName>
    <definedName name="Input_RTI_OAADTOut2">'[3]Control Strategy Selection'!$E$49</definedName>
    <definedName name="Input_RTI_R1_BaseIntx">'[3]Control Strategy Selection'!$D$66</definedName>
    <definedName name="Input_TrafficSignal_PedActivity">'[3]At-Grade Inputs'!$D$28</definedName>
    <definedName name="Input_TrafficSignal2_PedActivity">'[3]At-Grade Inputs'!$F$28</definedName>
    <definedName name="IsChecked_AGI_AllStop">'[3]User Selections'!$B$6</definedName>
    <definedName name="IsChecked_AGI_DLT">'[3]User Selections'!$B$9</definedName>
    <definedName name="IsChecked_AGI_GreenT">'[3]User Selections'!$B$13</definedName>
    <definedName name="IsChecked_AGI_Jughandle">'[3]User Selections'!$B$14</definedName>
    <definedName name="IsChecked_AGI_MinorStop">'[3]User Selections'!$B$5</definedName>
    <definedName name="IsChecked_AGI_MUT">'[3]User Selections'!$B$10</definedName>
    <definedName name="IsChecked_AGI_Other1">'[3]User Selections'!$B$15</definedName>
    <definedName name="IsChecked_AGI_Other2">'[3]User Selections'!$B$16</definedName>
    <definedName name="IsChecked_AGI_RCUTSig">'[3]User Selections'!$B$11</definedName>
    <definedName name="IsChecked_AGI_RCUTUnsig">'[3]User Selections'!$B$12</definedName>
    <definedName name="IsChecked_AGI_Rdbt1Ln">'[3]User Selections'!$B$7</definedName>
    <definedName name="IsChecked_AGI_Rdbt2Ln">'[3]User Selections'!$B$8</definedName>
    <definedName name="IsChecked_AGI_TrafficSignal">'[3]User Selections'!$B$3</definedName>
    <definedName name="IsChecked_AGI_TrafficSignal2">'[3]User Selections'!$B$4</definedName>
    <definedName name="IsChecked_RTI_D4MS">'[3]User Selections'!$B$25</definedName>
    <definedName name="IsChecked_RTI_D4TS">'[3]User Selections'!$B$21</definedName>
    <definedName name="IsChecked_RTI_D4TSA">'[3]User Selections'!$B$22</definedName>
    <definedName name="K_Factor">'[1]Multimodal Bike_Default_vals'!$AH$251</definedName>
    <definedName name="Label_AGI_1LnRdbt">[3]Labels!$A$8</definedName>
    <definedName name="Label_AGI_2LnRdbt">[3]Labels!$A$9</definedName>
    <definedName name="Label_AGI_AllStop">[3]Labels!$A$7</definedName>
    <definedName name="Label_AGI_DLT">[3]Labels!$A$10</definedName>
    <definedName name="Label_AGI_GreenT">[3]Labels!$A$14</definedName>
    <definedName name="Label_AGI_Jughandle">[3]Labels!$A$15</definedName>
    <definedName name="Label_AGI_MinorStop">[3]Labels!$A$6</definedName>
    <definedName name="Label_AGI_MUT">[3]Labels!$A$11</definedName>
    <definedName name="Label_AGI_RCUTSig">[3]Labels!$A$12</definedName>
    <definedName name="Label_AGI_RCUTUnsig">[3]Labels!$A$13</definedName>
    <definedName name="Label_AGI_TrafficSignal">[3]Labels!$A$5</definedName>
    <definedName name="Label_AnalysisYearType_OpenAndDesign">[3]Labels!$A$46</definedName>
    <definedName name="Label_RTI_1LnRdbt">'[3]Control Strategy Selection'!$A$66</definedName>
    <definedName name="Label_RTI_2LnRdbt">'[3]Control Strategy Selection'!$A$67</definedName>
    <definedName name="Label_RTI_D4MS">'[3]Control Strategy Selection'!$A$65</definedName>
    <definedName name="Label_RTI_D4TS">'[3]Control Strategy Selection'!$A$61</definedName>
    <definedName name="Label_RTI_D4TSA">'[3]Control Strategy Selection'!$A$62</definedName>
    <definedName name="Label_RTI_DDI">'[3]Control Strategy Selection'!$A$63</definedName>
    <definedName name="Label_RTI_Other1">'[3]Control Strategy Selection'!$A$68</definedName>
    <definedName name="Label_RTI_Other2">'[3]Control Strategy Selection'!$A$69</definedName>
    <definedName name="Label_RTI_SPUI">'[3]Control Strategy Selection'!$A$64</definedName>
    <definedName name="Load">[2]Refs!$E$2:$E$5</definedName>
    <definedName name="Location">'[1]1 - Volume Input'!$M$12</definedName>
    <definedName name="Loop_Ramps">'[1]Multimodal Ped'!$AO$23</definedName>
    <definedName name="LTAF">'[1]1 - Volume Input'!$S$40</definedName>
    <definedName name="Maj_St_Spd_Lmt">'[1]Multimodal Ped_Default_vals'!$Z$21</definedName>
    <definedName name="Manual_Phasing">#REF!</definedName>
    <definedName name="Markings">'[1]Crosswalks sheet'!$M$5:$M$6</definedName>
    <definedName name="Median">[2]Refs!$G$2:$G$3</definedName>
    <definedName name="Metro">[2]Refs!$H$2:$H$3</definedName>
    <definedName name="Min_St_Spd_Lmt">'[1]Multimodal Ped_Default_vals'!$Z$23</definedName>
    <definedName name="Multimodal">'[1]1 - Volume Input'!$BG$64</definedName>
    <definedName name="Multistage_Crossing" comment="Does the intersection have multistage crossing(s)? If yes, w/ how many stages?">'[1]Multimodal Ped'!$W$316:$W$318</definedName>
    <definedName name="NB_Growth_Factor">'[1]1 - Volume Input'!$AY$38</definedName>
    <definedName name="NB_Truck_Percentage">'[1]1 - Volume Input'!$AQ$38</definedName>
    <definedName name="NBL_Master">'[1]1 - Volume Input'!$AA$80</definedName>
    <definedName name="NBleftLanes">SIGNAL!$I$12</definedName>
    <definedName name="NBR_Master">'[1]1 - Volume Input'!$AQ$80</definedName>
    <definedName name="NBT_Master">'[1]1 - Volume Input'!$AI$80</definedName>
    <definedName name="NBU_Master">'[1]1 - Volume Input'!$S$80</definedName>
    <definedName name="NPred_FI">#REF!</definedName>
    <definedName name="NPred_PDO">#REF!</definedName>
    <definedName name="NPred_Total">#REF!</definedName>
    <definedName name="One_Ln_Rndabt_Speed">'[1]Multimodal Ped'!$P$27</definedName>
    <definedName name="P_Name">'[1]1 - Volume Input'!$M$8</definedName>
    <definedName name="P_Number">'[1]1 - Volume Input'!$M$10</definedName>
    <definedName name="Parking">SIGNAL!$Q$22:$Q$23</definedName>
    <definedName name="ParkingFactors">SIGNAL!$Q$22:$Q$23</definedName>
    <definedName name="Peds">SIGNAL!$Q$14:$Q$18</definedName>
    <definedName name="PermLTFactors">#REF!</definedName>
    <definedName name="PhasingType">#REF!</definedName>
    <definedName name="Range_R2L">[3]Definitions!$I$5:$M$10</definedName>
    <definedName name="Range_RAB1">[3]Definitions!$O$4:$S$5</definedName>
    <definedName name="Range_RAB2">[3]Definitions!$O$7:$S$8</definedName>
    <definedName name="Range_RML">[3]Definitions!$I$14:$M$19</definedName>
    <definedName name="Range_USA_1x1">[3]Definitions!$I$45:$M$50</definedName>
    <definedName name="Range_USA_1x2">[3]Definitions!$I$38:$M$43</definedName>
    <definedName name="Range_USA_2x2_5F">[3]Definitions!$I$23:$M$28</definedName>
    <definedName name="Range_USA_2x2_6P">[3]Definitions!$I$30:$M$35</definedName>
    <definedName name="Range_USA_HS">[3]Definitions!$I$53:$M$58</definedName>
    <definedName name="Result_1x1Rdbt_VC_Z1">'[1]1x1 Rndabt '!$J$23</definedName>
    <definedName name="Result_1x1Rdbt_VC_Z2">'[1]1x1 Rndabt '!$AT$65</definedName>
    <definedName name="Result_1x1Rdbt_VC_Z3">'[1]1x1 Rndabt '!$J$65</definedName>
    <definedName name="Result_1x1Rdbt_VC_Z4">'[1]1x1 Rndabt '!$AU$25</definedName>
    <definedName name="Result_1x2Rdbt_VC_L1_Z1">'[1]1NS x 2 EW Rndabt'!$J$23</definedName>
    <definedName name="Result_1x2Rdbt_VC_L1_Z2">'[1]1NS x 2 EW Rndabt'!$AX$62</definedName>
    <definedName name="Result_1x2Rdbt_VC_L1_Z3">'[1]1NS x 2 EW Rndabt'!$J$62</definedName>
    <definedName name="Result_1x2Rdbt_VC_L1_Z4">'[1]1NS x 2 EW Rndabt'!$AX$23</definedName>
    <definedName name="Result_1x2Rdbt_VC_L2_Z3">'[1]1NS x 2 EW Rndabt'!$J$64</definedName>
    <definedName name="Result_1x2Rdbt_VC_L2_Z4">'[1]1NS x 2 EW Rndabt'!$AX$25</definedName>
    <definedName name="Result_2x1Rdbt_VC_L1_Z1">'[1]2 NS x 1 EW Rndabt'!$J$23</definedName>
    <definedName name="Result_2x1Rdbt_VC_L1_Z2">'[1]2 NS x 1 EW Rndabt'!$AX$62</definedName>
    <definedName name="Result_2x1Rdbt_VC_L1_Z3">'[1]2 NS x 1 EW Rndabt'!$J$62</definedName>
    <definedName name="Result_2x1Rdbt_VC_L1_Z4">'[1]2 NS x 1 EW Rndabt'!$AX$23</definedName>
    <definedName name="Result_2x1Rdbt_VC_L2_Z1">'[1]2 NS x 1 EW Rndabt'!$J$25</definedName>
    <definedName name="Result_2x1Rdbt_VC_L2_Z2">'[1]2 NS x 1 EW Rndabt'!$AX$64</definedName>
    <definedName name="Result_2x2Rdbt_VC_L1_Z1">'[1]2x2 Rndabt'!$J$23</definedName>
    <definedName name="Result_2x2Rdbt_VC_L1_Z2">'[1]2x2 Rndabt'!$AX$63</definedName>
    <definedName name="Result_2x2Rdbt_VC_L1_Z3">'[1]2x2 Rndabt'!$AX$23</definedName>
    <definedName name="Result_2x2Rdbt_VC_L1_Z4">'[1]2x2 Rndabt'!$J$63</definedName>
    <definedName name="Result_2x2Rdbt_VC_L2_Z1">'[1]2x2 Rndabt'!$J$25</definedName>
    <definedName name="Result_2x2Rdbt_VC_L2_Z2">'[1]2x2 Rndabt'!$AX$65</definedName>
    <definedName name="Result_2x2Rdbt_VC_L2_Z3">'[1]2x2 Rndabt'!$AX$25</definedName>
    <definedName name="Result_2x2Rdbt_VC_L2_Z4">'[1]2x2 Rndabt'!$J$65</definedName>
    <definedName name="Result_3x3Rdbt_VC_L1_Z1">'[1]3x3 Rndabt'!$I$21</definedName>
    <definedName name="Result_3x3Rdbt_VC_L1_Z2">'[1]3x3 Rndabt'!$AY$63</definedName>
    <definedName name="Result_3x3Rdbt_VC_L1_Z3">'[1]3x3 Rndabt'!$AY$21</definedName>
    <definedName name="Result_3x3Rdbt_VC_L1_Z4">'[1]3x3 Rndabt'!$I$63</definedName>
    <definedName name="Result_3x3Rdbt_VC_L2_Z1">'[1]3x3 Rndabt'!$I$23</definedName>
    <definedName name="Result_3x3Rdbt_VC_L2_Z2">'[1]3x3 Rndabt'!$AY$65</definedName>
    <definedName name="Result_3x3Rdbt_VC_L2_Z3">'[1]3x3 Rndabt'!$AY$23</definedName>
    <definedName name="Result_3x3Rdbt_VC_L2_Z4">'[1]3x3 Rndabt'!$I$65</definedName>
    <definedName name="Result_3x3Rdbt_VC_L3_Z1">'[1]3x3 Rndabt'!$I$25</definedName>
    <definedName name="Result_3x3Rdbt_VC_L3_Z2">'[1]3x3 Rndabt'!$AY$67</definedName>
    <definedName name="Result_3x3Rdbt_VC_L3_Z3">'[1]3x3 Rndabt'!$AY$25</definedName>
    <definedName name="Result_3x3Rdbt_VC_L3_Z4">'[1]3x3 Rndabt'!$I$67</definedName>
    <definedName name="Result_50ICD_VC_Z1">'[1]50 Mini-Rndabt'!$J$23</definedName>
    <definedName name="Result_50ICD_VC_Z2">'[1]50 Mini-Rndabt'!$AT$65</definedName>
    <definedName name="Result_50ICD_VC_Z3">'[1]50 Mini-Rndabt'!$J$65</definedName>
    <definedName name="Result_50ICD_VC_Z4">'[1]50 Mini-Rndabt'!$AU$25</definedName>
    <definedName name="Result_75ICD_VC_Z1">'[1]75 Mini-Rndabt'!$J$23</definedName>
    <definedName name="Result_75ICD_VC_Z2">'[1]75 Mini-Rndabt'!$AT$65</definedName>
    <definedName name="Result_75ICD_VC_Z3">'[1]75 Mini-Rndabt'!$J$65</definedName>
    <definedName name="Result_75ICD_VC_Z4">'[1]75 Mini-Rndabt'!$AU$25</definedName>
    <definedName name="Result_AWSC_CLV_Z5">[1]AWSC!$J$28</definedName>
    <definedName name="Result_AWSC_VC_Z5">[1]AWSC!$J$31</definedName>
    <definedName name="Result_Bowtie_EW_CLV_Z1">'[1]Bowtie E-W'!$I$19</definedName>
    <definedName name="Result_Bowtie_EW_CLV_Z2">'[1]Bowtie E-W'!$AS$57</definedName>
    <definedName name="Result_Bowtie_EW_CLV_Z3">'[1]Bowtie E-W'!$E$32</definedName>
    <definedName name="Result_Bowtie_EW_CLV_Z4">'[1]Bowtie E-W'!$E$54</definedName>
    <definedName name="Result_Bowtie_EW_CLV_Z5">'[1]Bowtie E-W'!$AS$25</definedName>
    <definedName name="Result_Bowtie_EW_VC_Z1">'[1]Bowtie E-W'!$I$22</definedName>
    <definedName name="Result_Bowtie_EW_VC_Z2">'[1]Bowtie E-W'!$AS$60</definedName>
    <definedName name="Result_Bowtie_EW_VC_Z3">'[1]Bowtie E-W'!$E$35</definedName>
    <definedName name="Result_Bowtie_EW_VC_Z4">'[1]Bowtie E-W'!$E$57</definedName>
    <definedName name="Result_Bowtie_EW_VC_Z5">'[1]Bowtie E-W'!$AS$28</definedName>
    <definedName name="Result_Bowtie_NS_CLV_Z1">'[1]Bowtie N-S'!$AI$59</definedName>
    <definedName name="Result_Bowtie_NS_CLV_Z2">'[1]Bowtie N-S'!$V$24</definedName>
    <definedName name="Result_Bowtie_NS_CLV_Z3">'[1]Bowtie N-S'!$AU$58</definedName>
    <definedName name="Result_Bowtie_NS_CLV_Z4">'[1]Bowtie N-S'!$G$28</definedName>
    <definedName name="Result_Bowtie_NS_CLV_Z5">'[1]Bowtie N-S'!$AQ$27</definedName>
    <definedName name="Result_Bowtie_NS_VC_Z1">'[1]Bowtie N-S'!$AN$62</definedName>
    <definedName name="Result_Bowtie_NS_VC_Z2">'[1]Bowtie N-S'!$V$27</definedName>
    <definedName name="Result_Bowtie_NS_VC_Z3">'[1]Bowtie N-S'!$AU$61</definedName>
    <definedName name="Result_Bowtie_NS_VC_Z4">'[1]Bowtie N-S'!$G$31</definedName>
    <definedName name="Result_Bowtie_NS_VC_Z5">'[1]Bowtie N-S'!$AQ$30</definedName>
    <definedName name="Result_CGT_E_CLV_Z5">'[1]CGT E'!$H$28</definedName>
    <definedName name="Result_CGT_E_VC_Z5">'[1]CGT E'!$H$31</definedName>
    <definedName name="Result_CGT_N_CLV_Z5">'[1]CGT N'!$H$28</definedName>
    <definedName name="Result_CGT_N_VC_Z5">'[1]CGT N'!$H$31</definedName>
    <definedName name="Result_CGT_S_CLV_Z5">'[1]CGT S'!$H$28</definedName>
    <definedName name="Result_CGT_S_VC_Z5">'[1]CGT S'!$H$31</definedName>
    <definedName name="Result_CGT_W_CLV_Z5">'[1]CGT W'!$H$28</definedName>
    <definedName name="Result_CGT_W_VC_Z5">'[1]CGT W'!$H$31</definedName>
    <definedName name="Result_CLI_EW_CLV_Z3">'[1]Contraflow Left E-W'!$L$18</definedName>
    <definedName name="Result_CLI_EW_CLV_Z4">'[1]Contraflow Left E-W'!$BH$18</definedName>
    <definedName name="Result_CLI_EW_VC_Z3">'[1]Contraflow Left E-W'!$L$21</definedName>
    <definedName name="Result_CLI_EW_VC_Z4">'[1]Contraflow Left E-W'!$BH$21</definedName>
    <definedName name="Result_CLI_NS_CLV_Z3">'[1]Contraflow Left N-S'!$F$21</definedName>
    <definedName name="Result_CLI_NS_CLV_Z4">'[1]Contraflow Left N-S'!$AU$59</definedName>
    <definedName name="Result_CLI_NS_VC_Z3">'[1]Contraflow Left N-S'!$F$24</definedName>
    <definedName name="Result_CLI_NS_VC_Z4">'[1]Contraflow Left N-S'!$AU$62</definedName>
    <definedName name="Result_Conventional_CLV_Z5">'[1]Traffic Signal'!$H$28</definedName>
    <definedName name="Result_Conventional_VC_Z5">'[1]Traffic Signal'!$H$31</definedName>
    <definedName name="Result_ConventionalSharedRTLT_CLV_Z5">'[1]Conventional Shared RT LT'!$H$28</definedName>
    <definedName name="Result_ConventionalSharedRTLT_VC_Z5">'[1]Conventional Shared RT LT'!$H$31</definedName>
    <definedName name="Result_CTO_CLV_Z5">'[1]Center Turn Overpass'!$H$28</definedName>
    <definedName name="Result_CTO_CLV_Z6">'[1]Center Turn Overpass'!$AQ$56</definedName>
    <definedName name="Result_CTO_VC_Z5">'[1]Center Turn Overpass'!$H$31</definedName>
    <definedName name="Result_CTO_VC_Z6">'[1]Center Turn Overpass'!$AQ$59</definedName>
    <definedName name="Result_DCD_EW_CLV_Z1">'[1]DDI E-W'!$D$17</definedName>
    <definedName name="Result_DCD_EW_CLV_Z2">'[1]DDI E-W'!$Q$17</definedName>
    <definedName name="Result_DCD_EW_CLV_Z3">'[1]DDI E-W'!$AD$17</definedName>
    <definedName name="Result_DCD_EW_CLV_Z4">'[1]DDI E-W'!$AQ$17</definedName>
    <definedName name="Result_DCD_EW_CLV_Z5">'[1]DDI E-W'!$BD$17</definedName>
    <definedName name="Result_DCD_EW_CLV_Z6">'[1]DDI E-W'!$BQ$17</definedName>
    <definedName name="Result_DCD_EW_VC_Z1">'[1]DDI E-W'!$D$20</definedName>
    <definedName name="Result_DCD_EW_VC_Z2">'[1]DDI E-W'!$Q$20</definedName>
    <definedName name="Result_DCD_EW_VC_Z3">'[1]DDI E-W'!$AD$20</definedName>
    <definedName name="Result_DCD_EW_VC_Z4">'[1]DDI E-W'!$AQ$20</definedName>
    <definedName name="Result_DCD_EW_VC_Z5">'[1]DDI E-W'!$BD$20</definedName>
    <definedName name="Result_DCD_EW_VC_Z6">'[1]DDI E-W'!$BQ$20</definedName>
    <definedName name="Result_DCD_NS_CLV_Z1">'[1]DDI N-S'!$AW$24</definedName>
    <definedName name="Result_DCD_NS_CLV_Z2">'[1]DDI N-S'!$AW$36</definedName>
    <definedName name="Result_DCD_NS_CLV_Z3">'[1]DDI N-S'!$E$31</definedName>
    <definedName name="Result_DCD_NS_CLV_Z4">'[1]DDI N-S'!$AW$53</definedName>
    <definedName name="Result_DCD_NS_CLV_Z5">'[1]DDI N-S'!$E$47</definedName>
    <definedName name="Result_DCD_NS_CLV_Z6">'[1]DDI N-S'!$E$60</definedName>
    <definedName name="Result_DCD_NS_VC_Z1">'[1]DDI N-S'!$AW$27</definedName>
    <definedName name="Result_DCD_NS_VC_Z2">'[1]DDI N-S'!$AW$39</definedName>
    <definedName name="Result_DCD_NS_VC_Z3">'[1]DDI N-S'!$E$34</definedName>
    <definedName name="Result_DCD_NS_VC_Z4">'[1]DDI N-S'!$AW$56</definedName>
    <definedName name="Result_DCD_NS_VC_Z5">'[1]DDI N-S'!$E$50</definedName>
    <definedName name="Result_DCD_NS_VC_Z6">'[1]DDI N-S'!$E$63</definedName>
    <definedName name="Result_DLT_CLV_Z1">'[1]Full DLT'!$E$17</definedName>
    <definedName name="Result_DLT_CLV_Z2">'[1]Full DLT'!$AW$66</definedName>
    <definedName name="Result_DLT_CLV_Z3">'[1]Full DLT'!$AW$17</definedName>
    <definedName name="Result_DLT_CLV_Z4">'[1]Full DLT'!$E$66</definedName>
    <definedName name="Result_DLT_CLV_Z5">'[1]Full DLT'!$E$27</definedName>
    <definedName name="Result_DLT_VC_Z1">'[1]Full DLT'!$E$20</definedName>
    <definedName name="Result_DLT_VC_Z2">'[1]Full DLT'!$AW$69</definedName>
    <definedName name="Result_DLT_VC_Z3">'[1]Full DLT'!$AW$20</definedName>
    <definedName name="Result_DLT_VC_Z4">'[1]Full DLT'!$E$69</definedName>
    <definedName name="Result_DLT_VC_Z5">'[1]Full DLT'!$E$30</definedName>
    <definedName name="Result_DLTI_EW_CLV_Z1">'[1]DLTI E-W '!$F$17</definedName>
    <definedName name="Result_DLTI_EW_CLV_Z3">'[1]DLTI E-W '!$T$17</definedName>
    <definedName name="Result_DLTI_EW_CLV_Z4">'[1]DLTI E-W '!$BA$17</definedName>
    <definedName name="Result_DLTI_EW_CLV_Z6">'[1]DLTI E-W '!$BO$17</definedName>
    <definedName name="Result_DLTI_EW_VC_Z1">'[1]DLTI E-W '!$F$20</definedName>
    <definedName name="Result_DLTI_EW_VC_Z3">'[1]DLTI E-W '!$T$20</definedName>
    <definedName name="Result_DLTI_EW_VC_Z4">'[1]DLTI E-W '!$BA$20</definedName>
    <definedName name="Result_DLTI_EW_VC_Z6">'[1]DLTI E-W '!$BO$20</definedName>
    <definedName name="Result_DLTI_NS_CLV_Z1">'[1]DLTI N-S'!$AP$18</definedName>
    <definedName name="Result_DLTI_NS_CLV_Z3">'[1]DLTI N-S'!$AP$33</definedName>
    <definedName name="Result_DLTI_NS_CLV_Z4">'[1]DLTI N-S'!$AP$50</definedName>
    <definedName name="Result_DLTI_NS_CLV_Z6">'[1]DLTI N-S'!$AP$64</definedName>
    <definedName name="Result_DLTI_NS_VC_Z1">'[1]DLTI N-S'!$AP$21</definedName>
    <definedName name="Result_DLTI_NS_VC_Z3">'[1]DLTI N-S'!$AP$36</definedName>
    <definedName name="Result_DLTI_NS_VC_Z4">'[1]DLTI N-S'!$AP$53</definedName>
    <definedName name="Result_DLTI_NS_VC_Z6">'[1]DLTI N-S'!$AP$67</definedName>
    <definedName name="Result_Echelon_EW_CLV_Z5">'[1]Echelon E-W'!$H$28</definedName>
    <definedName name="Result_Echelon_EW_CLV_Z6">'[1]Echelon E-W'!$AS$55</definedName>
    <definedName name="Result_Echelon_EW_VC_Z5">'[1]Echelon E-W'!$H$31</definedName>
    <definedName name="Result_Echelon_EW_VC_Z6">'[1]Echelon E-W'!$AS$58</definedName>
    <definedName name="Result_Echelon_NS_CLV_Z5">'[1]Echelon N-S'!$I$54</definedName>
    <definedName name="Result_Echelon_NS_CLV_Z6">'[1]Echelon N-S'!$AR$28</definedName>
    <definedName name="Result_Echelon_NS_VC_Z5">'[1]Echelon N-S'!$I$57</definedName>
    <definedName name="Result_Echelon_NS_VC_Z6">'[1]Echelon N-S'!$AR$31</definedName>
    <definedName name="Result_MUT_EW_CLV_Z3">'[1]MUT E-W'!$BP$22</definedName>
    <definedName name="Result_MUT_EW_CLV_Z4">'[1]MUT E-W'!$F$22</definedName>
    <definedName name="Result_MUT_EW_CLV_Z5">'[1]MUT E-W'!$AK$22</definedName>
    <definedName name="Result_MUT_EW_VC_Z3">'[1]MUT E-W'!$BP$25</definedName>
    <definedName name="Result_MUT_EW_VC_Z4">'[1]MUT E-W'!$F$25</definedName>
    <definedName name="Result_MUT_EW_VC_Z5">'[1]MUT E-W'!$AK$25</definedName>
    <definedName name="Result_MUT_NS_CLV_Z1">'[1]MUT N-S '!$AM$24</definedName>
    <definedName name="Result_MUT_NS_CLV_Z2">'[1]MUT N-S '!$AM$59</definedName>
    <definedName name="Result_MUT_NS_CLV_Z5">'[1]MUT N-S '!$AT$41</definedName>
    <definedName name="Result_MUT_NS_VC_Z1">'[1]MUT N-S '!$AM$27</definedName>
    <definedName name="Result_MUT_NS_VC_Z2">'[1]MUT N-S '!$AM$62</definedName>
    <definedName name="Result_MUT_NS_VC_Z5">'[1]MUT N-S '!$AT$44</definedName>
    <definedName name="Result_PCLA_EW_CLV_Z3">'[1]PCLA E-W'!$D$64</definedName>
    <definedName name="Result_PCLA_EW_CLV_Z4">'[1]PCLA E-W'!$AW$19</definedName>
    <definedName name="Result_PCLA_EW_VC_Z3">'[1]PCLA E-W'!$D$67</definedName>
    <definedName name="Result_PCLA_EW_VC_Z4">'[1]PCLA E-W'!$AW$22</definedName>
    <definedName name="Result_PCLA_NS_CLV_Z3">'[1]PCLA N-S'!$E$23</definedName>
    <definedName name="Result_PCLA_NS_CLV_Z4">'[1]PCLA N-S'!$AW$65</definedName>
    <definedName name="Result_PCLA_NS_VC_Z3">'[1]PCLA N-S'!$E$26</definedName>
    <definedName name="Result_PCLA_NS_VC_Z4">'[1]PCLA N-S'!$AW$68</definedName>
    <definedName name="Result_PCLB_EW_CLV_Z3">'[1]PCLB E-W'!$D$64</definedName>
    <definedName name="Result_PCLB_EW_CLV_Z4">'[1]PCLB E-W'!$AW$19</definedName>
    <definedName name="Result_PCLB_EW_VC_Z3">'[1]PCLB E-W'!$D$67</definedName>
    <definedName name="Result_PCLB_EW_VC_Z4">'[1]PCLB E-W'!$AW$22</definedName>
    <definedName name="Result_PCLB_NS_CLV_Z3">'[1]PCLB N-S'!$E$23</definedName>
    <definedName name="Result_PCLB_NS_CLV_Z4">'[1]PCLB N-S'!$AW$65</definedName>
    <definedName name="Result_PCLB_NS_VC_Z3">'[1]PCLB N-S'!$E$26</definedName>
    <definedName name="Result_PCLB_NS_VC_Z4">'[1]PCLB N-S'!$AW$68</definedName>
    <definedName name="Result_PDLT_EW_CLV_Z3">'[1]P DLT E-W'!$AU$58</definedName>
    <definedName name="Result_PDLT_EW_CLV_Z4">'[1]P DLT E-W'!$G$28</definedName>
    <definedName name="Result_PDLT_EW_CLV_Z5">'[1]P DLT E-W'!$AQ$27</definedName>
    <definedName name="Result_PDLT_EW_VC_Z3">'[1]P DLT E-W'!$AU$61</definedName>
    <definedName name="Result_PDLT_EW_VC_Z4">'[1]P DLT E-W'!$G$31</definedName>
    <definedName name="Result_PDLT_EW_VC_Z5">'[1]P DLT E-W'!$AQ$30</definedName>
    <definedName name="Result_PDLT_NS_CLV_Z1">'[1]P DLT N-S'!$I$19</definedName>
    <definedName name="Result_PDLT_NS_CLV_Z2">'[1]P DLT N-S'!$AS$57</definedName>
    <definedName name="Result_PDLT_NS_CLV_Z5">'[1]P DLT N-S'!$AS$25</definedName>
    <definedName name="Result_PDLT_NS_VC_Z1">'[1]P DLT N-S'!$I$22</definedName>
    <definedName name="Result_PDLT_NS_VC_Z2">'[1]P DLT N-S'!$AS$60</definedName>
    <definedName name="Result_PDLT_NS_VC_Z5">'[1]P DLT N-S'!$AS$28</definedName>
    <definedName name="Result_PMUT_EW_CLV_Z3">'[1]PMUT E-W'!$BP$22</definedName>
    <definedName name="Result_PMUT_EW_CLV_Z4">'[1]PMUT E-W'!$F$22</definedName>
    <definedName name="Result_PMUT_EW_CLV_Z5">'[1]PMUT E-W'!$AK$21</definedName>
    <definedName name="Result_PMUT_EW_VC_Z3">'[1]PMUT E-W'!$BP$25</definedName>
    <definedName name="Result_PMUT_EW_VC_Z4">'[1]PMUT E-W'!$F$25</definedName>
    <definedName name="Result_PMUT_EW_VC_Z5">'[1]PMUT E-W'!$AK$24</definedName>
    <definedName name="Result_PMUT_NS_CLV_Z1">'[1]PMUT N-S'!$AM$24</definedName>
    <definedName name="Result_PMUT_NS_CLV_Z2">'[1]PMUT N-S'!$AM$59</definedName>
    <definedName name="Result_PMUT_NS_CLV_Z5">'[1]PMUT N-S'!$AT$41</definedName>
    <definedName name="Result_PMUT_NS_VC_Z1">'[1]PMUT N-S'!$AM$27</definedName>
    <definedName name="Result_PMUT_NS_VC_Z2">'[1]PMUT N-S'!$AM$62</definedName>
    <definedName name="Result_PMUT_NS_VC_Z5">'[1]PMUT N-S'!$AT$44</definedName>
    <definedName name="Result_QR_NE_CLV_Z1">'[1]QR N-E'!$C$28</definedName>
    <definedName name="Result_QR_NE_CLV_Z3">'[1]QR N-E'!$AV$67</definedName>
    <definedName name="Result_QR_NE_CLV_Z5">'[1]QR N-E'!$C$50</definedName>
    <definedName name="Result_QR_NE_VC_Z1">'[1]QR N-E'!$C$31</definedName>
    <definedName name="Result_QR_NE_VC_Z3">'[1]QR N-E'!$AV$70</definedName>
    <definedName name="Result_QR_NE_VC_Z5">'[1]QR N-E'!$C$53</definedName>
    <definedName name="Result_QR_NW_CLV_Z1">'[1]QR N-W'!$AW$24</definedName>
    <definedName name="Result_QR_NW_CLV_Z4">'[1]QR N-W'!$I$65</definedName>
    <definedName name="Result_QR_NW_CLV_Z5">'[1]QR N-W'!$AW$54</definedName>
    <definedName name="Result_QR_NW_VC_Z1">'[1]QR N-W'!$AW$27</definedName>
    <definedName name="Result_QR_NW_VC_Z4">'[1]QR N-W'!$I$68</definedName>
    <definedName name="Result_QR_NW_VC_Z5">'[1]QR N-W'!$AW$57</definedName>
    <definedName name="Result_QR_SE_CLV_Z2">'[1]QR S-E'!$C$62</definedName>
    <definedName name="Result_QR_SE_CLV_Z3">'[1]QR S-E'!$AS$17</definedName>
    <definedName name="Result_QR_SE_CLV_Z5">'[1]QR S-E'!$C$24</definedName>
    <definedName name="Result_QR_SE_VC_Z2">'[1]QR S-E'!$C$65</definedName>
    <definedName name="Result_QR_SE_VC_Z3">'[1]QR S-E'!$AS$20</definedName>
    <definedName name="Result_QR_SE_VC_Z5">'[1]QR S-E'!$C$27</definedName>
    <definedName name="Result_QR_SW_CLV_Z2">'[1]QR S-W'!$AY$63</definedName>
    <definedName name="Result_QR_SW_CLV_Z4">'[1]QR S-W'!$E$18</definedName>
    <definedName name="Result_QR_SW_CLV_Z5">'[1]QR S-W'!$AM$18</definedName>
    <definedName name="Result_QR_SW_VC_Z2">'[1]QR S-W'!$AY$66</definedName>
    <definedName name="Result_QR_SW_VC_Z4">'[1]QR S-W'!$E$21</definedName>
    <definedName name="Result_QR_SW_VC_Z5">'[1]QR S-W'!$AM$21</definedName>
    <definedName name="Result_RCUT_EW_CLV_Z1">'[1]RCUT E-W'!$P$17</definedName>
    <definedName name="Result_RCUT_EW_CLV_Z2">'[1]RCUT E-W'!$BG$49</definedName>
    <definedName name="Result_RCUT_EW_CLV_Z3">'[1]RCUT E-W'!$BG$17</definedName>
    <definedName name="Result_RCUT_EW_CLV_Z4">'[1]RCUT E-W'!$N$49</definedName>
    <definedName name="Result_RCUT_EW_VC_Z1">'[1]RCUT E-W'!$P$20</definedName>
    <definedName name="Result_RCUT_EW_VC_Z2">'[1]RCUT E-W'!$BG$52</definedName>
    <definedName name="Result_RCUT_EW_VC_Z3">'[1]RCUT E-W'!$BG$20</definedName>
    <definedName name="Result_RCUT_EW_VC_Z4">'[1]RCUT E-W'!$N$52</definedName>
    <definedName name="Result_RCUT_NS_CLV_Z1">'[1]RCUT N-S'!$F$20</definedName>
    <definedName name="Result_RCUT_NS_CLV_Z2">'[1]RCUT N-S'!$AV$65</definedName>
    <definedName name="Result_RCUT_NS_CLV_Z3">'[1]RCUT N-S'!$AV$28</definedName>
    <definedName name="Result_RCUT_NS_CLV_Z4">'[1]RCUT N-S'!$F$57</definedName>
    <definedName name="Result_RCUT_NS_VC_Z1">'[1]RCUT N-S'!$F$23</definedName>
    <definedName name="Result_RCUT_NS_VC_Z2">'[1]RCUT N-S'!$AV$68</definedName>
    <definedName name="Result_RCUT_NS_VC_Z3">'[1]RCUT N-S'!$AV$31</definedName>
    <definedName name="Result_RCUT_NS_VC_Z4">'[1]RCUT N-S'!$F$60</definedName>
    <definedName name="Result_SPI_EW_CLV_Z1">'[1]SPI E-W'!$T$17</definedName>
    <definedName name="Result_SPI_EW_CLV_Z3">'[1]SPI E-W'!$AJ$17</definedName>
    <definedName name="Result_SPI_EW_CLV_Z6">'[1]SPI E-W'!$AZ$17</definedName>
    <definedName name="Result_SPI_EW_VC_Z1">'[1]SPI E-W'!$T$20</definedName>
    <definedName name="Result_SPI_EW_VC_Z3">'[1]SPI E-W'!$AJ$20</definedName>
    <definedName name="Result_SPI_EW_VC_Z6">'[1]SPI E-W'!$AZ$20</definedName>
    <definedName name="Result_SPI_NS_CLV_Z1">'[1]SPI N-S '!$AR$26</definedName>
    <definedName name="Result_SPI_NS_CLV_Z3">'[1]SPI N-S '!$AR$40</definedName>
    <definedName name="Result_SPI_NS_CLV_Z6">'[1]SPI N-S '!$AR$54</definedName>
    <definedName name="Result_SPI_NS_VC_Z1">'[1]SPI N-S '!$AR$29</definedName>
    <definedName name="Result_SPI_NS_VC_Z3">'[1]SPI N-S '!$AR$43</definedName>
    <definedName name="Result_SPI_NS_VC_Z6">'[1]SPI N-S '!$AR$57</definedName>
    <definedName name="Result_SPIRAB_EW_VC_Z1">'[1]SPI RAB E-W'!$CN$29</definedName>
    <definedName name="Result_SPIRAB_EW_VC_Z2">'[1]SPI RAB E-W'!$CY$45</definedName>
    <definedName name="Result_SPIRAB_EW_VC_Z3">'[1]SPI RAB E-W'!$CX$32</definedName>
    <definedName name="Result_SPIRAB_EW_VC_Z4">'[1]SPI RAB E-W'!$CL$42</definedName>
    <definedName name="Result_SPIRAB_NS_VC_Z1">'[1]SPI RAB N-S'!$CN$29</definedName>
    <definedName name="Result_SPIRAB_NS_VC_Z2">'[1]SPI RAB N-S'!$CY$45</definedName>
    <definedName name="Result_SPIRAB_NS_VC_Z3">'[1]SPI RAB N-S'!$CX$32</definedName>
    <definedName name="Result_SPIRAB_NS_VC_Z4">'[1]SPI RAB N-S'!$CL$42</definedName>
    <definedName name="Result_SplitIntx_EW_CLV_Z1">'[1]Split Intersection E-W'!$H$28</definedName>
    <definedName name="Result_SplitIntx_EW_CLV_Z2">'[1]Split Intersection E-W'!$AP$28</definedName>
    <definedName name="Result_SplitIntx_EW_VC_Z1">'[1]Split Intersection E-W'!$H$31</definedName>
    <definedName name="Result_SplitIntx_EW_VC_Z2">'[1]Split Intersection E-W'!$AP$31</definedName>
    <definedName name="Result_SplitIntx_NS_CLV_Z3">'[1]Split Intersection N-S'!$AP$28</definedName>
    <definedName name="Result_SplitIntx_NS_CLV_Z4">'[1]Split Intersection N-S'!$H$28</definedName>
    <definedName name="Result_SplitIntx_NS_VC_Z3">'[1]Split Intersection N-S'!$AP$31</definedName>
    <definedName name="Result_SplitIntx_NS_VC_Z4">'[1]Split Intersection N-S'!$H$31</definedName>
    <definedName name="Result_TD_EW_CLV_Z3">'[1]TD E-W'!$AS$33</definedName>
    <definedName name="Result_TD_EW_CLV_Z4">'[1]TD E-W'!$AS$46</definedName>
    <definedName name="Result_TD_EW_VC_Z3">'[1]TD E-W'!$AS$36</definedName>
    <definedName name="Result_TD_EW_VC_Z4">'[1]TD E-W'!$AS$49</definedName>
    <definedName name="Result_TD_NS_CLV_Z3">'[1]TD N-S'!$AY$17</definedName>
    <definedName name="Result_TD_NS_CLV_Z4">'[1]TD N-S'!$U$17</definedName>
    <definedName name="Result_TD_NS_VC_Z3">'[1]TD N-S'!$AY$20</definedName>
    <definedName name="Result_TD_NS_VC_Z4">'[1]TD N-S'!$U$20</definedName>
    <definedName name="Result_TWSC_EW_VC_Z5">'[1]TWSC E-W'!$AM$22</definedName>
    <definedName name="Result_TWSC_NS_VC_Z5">'[1]TWSC N-S'!$AM$21</definedName>
    <definedName name="Result_URCUT_EW_CLV_Z1">'[1]Unsig RCUT E-W'!$P$17</definedName>
    <definedName name="Result_URCUT_EW_CLV_Z2">'[1]Unsig RCUT E-W'!$BG$49</definedName>
    <definedName name="Result_URCUT_EW_CLV_Z3">'[1]Unsig RCUT E-W'!$BG$17</definedName>
    <definedName name="Result_URCUT_EW_CLV_Z4">'[1]Unsig RCUT E-W'!$N$49</definedName>
    <definedName name="Result_URCUT_EW_VC_Z1">'[1]Unsig RCUT E-W'!$P$20</definedName>
    <definedName name="Result_URCUT_EW_VC_Z2">'[1]Unsig RCUT E-W'!$BG$52</definedName>
    <definedName name="Result_URCUT_EW_VC_Z3">'[1]Unsig RCUT E-W'!$BG$20</definedName>
    <definedName name="Result_URCUT_EW_VC_Z4">'[1]Unsig RCUT E-W'!$N$52</definedName>
    <definedName name="Result_URCUT_NS_CLV_Z1">'[1]Unsig RCUT N-S'!$F$20</definedName>
    <definedName name="Result_URCUT_NS_CLV_Z2">'[1]Unsig RCUT N-S'!$AV$65</definedName>
    <definedName name="Result_URCUT_NS_CLV_Z3">'[1]Unsig RCUT N-S'!$AV$28</definedName>
    <definedName name="Result_URCUT_NS_CLV_Z4">'[1]Unsig RCUT N-S'!$F$57</definedName>
    <definedName name="Result_URCUT_NS_VC_Z1">'[1]Unsig RCUT N-S'!$F$23</definedName>
    <definedName name="Result_URCUT_NS_VC_Z2">'[1]Unsig RCUT N-S'!$AV$68</definedName>
    <definedName name="Result_URCUT_NS_VC_Z3">'[1]Unsig RCUT N-S'!$AV$31</definedName>
    <definedName name="Result_URCUT_NS_VC_Z4">'[1]Unsig RCUT N-S'!$F$60</definedName>
    <definedName name="RTAF">'[1]1 - Volume Input'!$AI$40</definedName>
    <definedName name="SB_Growth_Factor">'[1]1 - Volume Input'!$AY$36</definedName>
    <definedName name="SB_Truck_Percentage">'[1]1 - Volume Input'!$AQ$36</definedName>
    <definedName name="SBL_Master">'[1]1 - Volume Input'!$AA$78</definedName>
    <definedName name="SBleftLanes">SIGNAL!$L$12</definedName>
    <definedName name="SBR_Master">'[1]1 - Volume Input'!$AQ$78</definedName>
    <definedName name="SBT_Master">'[1]1 - Volume Input'!$AI$78</definedName>
    <definedName name="SBU_Master">'[1]1 - Volume Input'!$S$78</definedName>
    <definedName name="Shelter">[2]Refs!$C$2:$C$3</definedName>
    <definedName name="Signal.Drop">#REF!</definedName>
    <definedName name="solver_adj" localSheetId="22" hidden="1">BOWTIE!$M$56</definedName>
    <definedName name="solver_adj" localSheetId="19" hidden="1">'Jugh-F'!$N$62</definedName>
    <definedName name="solver_adj" localSheetId="20" hidden="1">'Jugh-R'!$N$58</definedName>
    <definedName name="solver_adj" localSheetId="11" hidden="1">MUT!$N$66</definedName>
    <definedName name="solver_adj" localSheetId="16" hidden="1">'QRI-24'!$N$65</definedName>
    <definedName name="solver_adj" localSheetId="15" hidden="1">'QRI-28'!$N$65</definedName>
    <definedName name="solver_adj" localSheetId="10" hidden="1">RCUT!$Q$50</definedName>
    <definedName name="solver_adj" localSheetId="4" hidden="1">SIGNAL!$D$46</definedName>
    <definedName name="solver_cvg" localSheetId="22" hidden="1">0.0001</definedName>
    <definedName name="solver_cvg" localSheetId="19" hidden="1">0.0001</definedName>
    <definedName name="solver_cvg" localSheetId="20" hidden="1">0.0001</definedName>
    <definedName name="solver_cvg" localSheetId="11" hidden="1">0.0001</definedName>
    <definedName name="solver_cvg" localSheetId="16" hidden="1">0.0001</definedName>
    <definedName name="solver_cvg" localSheetId="15" hidden="1">0.0001</definedName>
    <definedName name="solver_cvg" localSheetId="10" hidden="1">0.0001</definedName>
    <definedName name="solver_cvg" localSheetId="4" hidden="1">0.0001</definedName>
    <definedName name="solver_drv" localSheetId="22" hidden="1">1</definedName>
    <definedName name="solver_drv" localSheetId="19" hidden="1">2</definedName>
    <definedName name="solver_drv" localSheetId="20" hidden="1">1</definedName>
    <definedName name="solver_drv" localSheetId="11" hidden="1">1</definedName>
    <definedName name="solver_drv" localSheetId="16" hidden="1">1</definedName>
    <definedName name="solver_drv" localSheetId="15" hidden="1">1</definedName>
    <definedName name="solver_drv" localSheetId="10" hidden="1">1</definedName>
    <definedName name="solver_drv" localSheetId="4" hidden="1">2</definedName>
    <definedName name="solver_eng" localSheetId="22" hidden="1">3</definedName>
    <definedName name="solver_eng" localSheetId="19" hidden="1">3</definedName>
    <definedName name="solver_eng" localSheetId="20" hidden="1">1</definedName>
    <definedName name="solver_eng" localSheetId="11" hidden="1">3</definedName>
    <definedName name="solver_eng" localSheetId="16" hidden="1">3</definedName>
    <definedName name="solver_eng" localSheetId="15" hidden="1">3</definedName>
    <definedName name="solver_eng" localSheetId="10" hidden="1">3</definedName>
    <definedName name="solver_eng" localSheetId="4" hidden="1">3</definedName>
    <definedName name="solver_est" localSheetId="22" hidden="1">1</definedName>
    <definedName name="solver_est" localSheetId="19" hidden="1">1</definedName>
    <definedName name="solver_est" localSheetId="20" hidden="1">1</definedName>
    <definedName name="solver_est" localSheetId="11" hidden="1">1</definedName>
    <definedName name="solver_est" localSheetId="16" hidden="1">1</definedName>
    <definedName name="solver_est" localSheetId="15" hidden="1">1</definedName>
    <definedName name="solver_est" localSheetId="10" hidden="1">1</definedName>
    <definedName name="solver_est" localSheetId="4" hidden="1">1</definedName>
    <definedName name="solver_itr" localSheetId="22" hidden="1">2147483647</definedName>
    <definedName name="solver_itr" localSheetId="19" hidden="1">2147483647</definedName>
    <definedName name="solver_itr" localSheetId="20" hidden="1">2147483647</definedName>
    <definedName name="solver_itr" localSheetId="11" hidden="1">2147483647</definedName>
    <definedName name="solver_itr" localSheetId="16" hidden="1">2147483647</definedName>
    <definedName name="solver_itr" localSheetId="15" hidden="1">2147483647</definedName>
    <definedName name="solver_itr" localSheetId="10" hidden="1">2147483647</definedName>
    <definedName name="solver_itr" localSheetId="4" hidden="1">2147483647</definedName>
    <definedName name="solver_lhs1" localSheetId="22" hidden="1">BOWTIE!$M$56</definedName>
    <definedName name="solver_lhs1" localSheetId="19" hidden="1">'Jugh-F'!$N$62</definedName>
    <definedName name="solver_lhs1" localSheetId="20" hidden="1">'Jugh-R'!$N$58</definedName>
    <definedName name="solver_lhs1" localSheetId="11" hidden="1">MUT!$N$66</definedName>
    <definedName name="solver_lhs1" localSheetId="16" hidden="1">'QRI-24'!$N$65</definedName>
    <definedName name="solver_lhs1" localSheetId="15" hidden="1">'QRI-28'!$N$65</definedName>
    <definedName name="solver_lhs1" localSheetId="10" hidden="1">RCUT!$Q$50</definedName>
    <definedName name="solver_lhs1" localSheetId="4" hidden="1">SIGNAL!$D$46</definedName>
    <definedName name="solver_lhs2" localSheetId="22" hidden="1">BOWTIE!$M$56</definedName>
    <definedName name="solver_lhs2" localSheetId="20" hidden="1">'Jugh-R'!$N$58</definedName>
    <definedName name="solver_lhs2" localSheetId="11" hidden="1">MUT!$N$66</definedName>
    <definedName name="solver_lhs2" localSheetId="16" hidden="1">'QRI-24'!$N$65</definedName>
    <definedName name="solver_lhs2" localSheetId="15" hidden="1">'QRI-28'!$N$65</definedName>
    <definedName name="solver_lhs2" localSheetId="10" hidden="1">RCUT!$Q$50</definedName>
    <definedName name="solver_lhs2" localSheetId="4" hidden="1">SIGNAL!$D$46</definedName>
    <definedName name="solver_lhs3" localSheetId="22" hidden="1">BOWTIE!$M$56</definedName>
    <definedName name="solver_mip" localSheetId="22" hidden="1">2147483647</definedName>
    <definedName name="solver_mip" localSheetId="19" hidden="1">2147483647</definedName>
    <definedName name="solver_mip" localSheetId="20" hidden="1">2147483647</definedName>
    <definedName name="solver_mip" localSheetId="11" hidden="1">2147483647</definedName>
    <definedName name="solver_mip" localSheetId="16" hidden="1">2147483647</definedName>
    <definedName name="solver_mip" localSheetId="15" hidden="1">2147483647</definedName>
    <definedName name="solver_mip" localSheetId="10" hidden="1">2147483647</definedName>
    <definedName name="solver_mip" localSheetId="4" hidden="1">2147483647</definedName>
    <definedName name="solver_mni" localSheetId="22" hidden="1">30</definedName>
    <definedName name="solver_mni" localSheetId="19" hidden="1">30</definedName>
    <definedName name="solver_mni" localSheetId="20" hidden="1">30</definedName>
    <definedName name="solver_mni" localSheetId="11" hidden="1">30</definedName>
    <definedName name="solver_mni" localSheetId="16" hidden="1">30</definedName>
    <definedName name="solver_mni" localSheetId="15" hidden="1">30</definedName>
    <definedName name="solver_mni" localSheetId="10" hidden="1">30</definedName>
    <definedName name="solver_mni" localSheetId="4" hidden="1">30</definedName>
    <definedName name="solver_mrt" localSheetId="22" hidden="1">0.075</definedName>
    <definedName name="solver_mrt" localSheetId="19" hidden="1">0.075</definedName>
    <definedName name="solver_mrt" localSheetId="20" hidden="1">0.075</definedName>
    <definedName name="solver_mrt" localSheetId="11" hidden="1">0.075</definedName>
    <definedName name="solver_mrt" localSheetId="16" hidden="1">0.075</definedName>
    <definedName name="solver_mrt" localSheetId="15" hidden="1">0.075</definedName>
    <definedName name="solver_mrt" localSheetId="10" hidden="1">0.075</definedName>
    <definedName name="solver_mrt" localSheetId="4" hidden="1">0.075</definedName>
    <definedName name="solver_msl" localSheetId="22" hidden="1">2</definedName>
    <definedName name="solver_msl" localSheetId="19" hidden="1">2</definedName>
    <definedName name="solver_msl" localSheetId="20" hidden="1">2</definedName>
    <definedName name="solver_msl" localSheetId="11" hidden="1">2</definedName>
    <definedName name="solver_msl" localSheetId="16" hidden="1">2</definedName>
    <definedName name="solver_msl" localSheetId="15" hidden="1">2</definedName>
    <definedName name="solver_msl" localSheetId="10" hidden="1">2</definedName>
    <definedName name="solver_msl" localSheetId="4" hidden="1">2</definedName>
    <definedName name="solver_neg" localSheetId="22" hidden="1">1</definedName>
    <definedName name="solver_neg" localSheetId="19" hidden="1">1</definedName>
    <definedName name="solver_neg" localSheetId="20" hidden="1">1</definedName>
    <definedName name="solver_neg" localSheetId="11" hidden="1">1</definedName>
    <definedName name="solver_neg" localSheetId="16" hidden="1">1</definedName>
    <definedName name="solver_neg" localSheetId="15" hidden="1">1</definedName>
    <definedName name="solver_neg" localSheetId="10" hidden="1">1</definedName>
    <definedName name="solver_neg" localSheetId="4" hidden="1">1</definedName>
    <definedName name="solver_nod" localSheetId="22" hidden="1">2147483647</definedName>
    <definedName name="solver_nod" localSheetId="19" hidden="1">2147483647</definedName>
    <definedName name="solver_nod" localSheetId="20" hidden="1">2147483647</definedName>
    <definedName name="solver_nod" localSheetId="11" hidden="1">2147483647</definedName>
    <definedName name="solver_nod" localSheetId="16" hidden="1">2147483647</definedName>
    <definedName name="solver_nod" localSheetId="15" hidden="1">2147483647</definedName>
    <definedName name="solver_nod" localSheetId="10" hidden="1">2147483647</definedName>
    <definedName name="solver_nod" localSheetId="4" hidden="1">2147483647</definedName>
    <definedName name="solver_num" localSheetId="22" hidden="1">2</definedName>
    <definedName name="solver_num" localSheetId="19" hidden="1">1</definedName>
    <definedName name="solver_num" localSheetId="20" hidden="1">2</definedName>
    <definedName name="solver_num" localSheetId="11" hidden="1">2</definedName>
    <definedName name="solver_num" localSheetId="16" hidden="1">2</definedName>
    <definedName name="solver_num" localSheetId="15" hidden="1">2</definedName>
    <definedName name="solver_num" localSheetId="10" hidden="1">2</definedName>
    <definedName name="solver_num" localSheetId="4" hidden="1">2</definedName>
    <definedName name="solver_nwt" localSheetId="22" hidden="1">1</definedName>
    <definedName name="solver_nwt" localSheetId="19" hidden="1">1</definedName>
    <definedName name="solver_nwt" localSheetId="20" hidden="1">1</definedName>
    <definedName name="solver_nwt" localSheetId="11" hidden="1">1</definedName>
    <definedName name="solver_nwt" localSheetId="16" hidden="1">1</definedName>
    <definedName name="solver_nwt" localSheetId="15" hidden="1">1</definedName>
    <definedName name="solver_nwt" localSheetId="10" hidden="1">1</definedName>
    <definedName name="solver_nwt" localSheetId="4" hidden="1">1</definedName>
    <definedName name="solver_opt" localSheetId="22" hidden="1">BOWTIE!$J$20</definedName>
    <definedName name="solver_opt" localSheetId="19" hidden="1">'Jugh-F'!$N$19</definedName>
    <definedName name="solver_opt" localSheetId="20" hidden="1">'Jugh-R'!$N$19</definedName>
    <definedName name="solver_opt" localSheetId="11" hidden="1">MUT!$K$21</definedName>
    <definedName name="solver_opt" localSheetId="16" hidden="1">'QRI-24'!$N$19</definedName>
    <definedName name="solver_opt" localSheetId="15" hidden="1">'QRI-28'!$N$19</definedName>
    <definedName name="solver_opt" localSheetId="10" hidden="1">RCUT!$O$18</definedName>
    <definedName name="solver_opt" localSheetId="4" hidden="1">SIGNAL!$C$73</definedName>
    <definedName name="solver_pre" localSheetId="22" hidden="1">0.000001</definedName>
    <definedName name="solver_pre" localSheetId="19" hidden="1">0.000001</definedName>
    <definedName name="solver_pre" localSheetId="20" hidden="1">0.000001</definedName>
    <definedName name="solver_pre" localSheetId="11" hidden="1">0.000001</definedName>
    <definedName name="solver_pre" localSheetId="16" hidden="1">0.000001</definedName>
    <definedName name="solver_pre" localSheetId="15" hidden="1">0.000001</definedName>
    <definedName name="solver_pre" localSheetId="10" hidden="1">0.000001</definedName>
    <definedName name="solver_pre" localSheetId="4" hidden="1">0.000001</definedName>
    <definedName name="solver_rbv" localSheetId="22" hidden="1">1</definedName>
    <definedName name="solver_rbv" localSheetId="19" hidden="1">2</definedName>
    <definedName name="solver_rbv" localSheetId="20" hidden="1">1</definedName>
    <definedName name="solver_rbv" localSheetId="11" hidden="1">1</definedName>
    <definedName name="solver_rbv" localSheetId="16" hidden="1">1</definedName>
    <definedName name="solver_rbv" localSheetId="15" hidden="1">1</definedName>
    <definedName name="solver_rbv" localSheetId="10" hidden="1">1</definedName>
    <definedName name="solver_rbv" localSheetId="4" hidden="1">2</definedName>
    <definedName name="solver_rel1" localSheetId="22" hidden="1">1</definedName>
    <definedName name="solver_rel1" localSheetId="19" hidden="1">1</definedName>
    <definedName name="solver_rel1" localSheetId="20" hidden="1">1</definedName>
    <definedName name="solver_rel1" localSheetId="11" hidden="1">1</definedName>
    <definedName name="solver_rel1" localSheetId="16" hidden="1">1</definedName>
    <definedName name="solver_rel1" localSheetId="15" hidden="1">1</definedName>
    <definedName name="solver_rel1" localSheetId="10" hidden="1">1</definedName>
    <definedName name="solver_rel1" localSheetId="4" hidden="1">1</definedName>
    <definedName name="solver_rel2" localSheetId="22" hidden="1">3</definedName>
    <definedName name="solver_rel2" localSheetId="20" hidden="1">3</definedName>
    <definedName name="solver_rel2" localSheetId="11" hidden="1">3</definedName>
    <definedName name="solver_rel2" localSheetId="16" hidden="1">3</definedName>
    <definedName name="solver_rel2" localSheetId="15" hidden="1">3</definedName>
    <definedName name="solver_rel2" localSheetId="10" hidden="1">3</definedName>
    <definedName name="solver_rel2" localSheetId="4" hidden="1">3</definedName>
    <definedName name="solver_rel3" localSheetId="22" hidden="1">3</definedName>
    <definedName name="solver_rhs1" localSheetId="22" hidden="1">240</definedName>
    <definedName name="solver_rhs1" localSheetId="19" hidden="1">300</definedName>
    <definedName name="solver_rhs1" localSheetId="20" hidden="1">250</definedName>
    <definedName name="solver_rhs1" localSheetId="11" hidden="1">200</definedName>
    <definedName name="solver_rhs1" localSheetId="16" hidden="1">200</definedName>
    <definedName name="solver_rhs1" localSheetId="15" hidden="1">200</definedName>
    <definedName name="solver_rhs1" localSheetId="10" hidden="1">RCUT!$D$16</definedName>
    <definedName name="solver_rhs1" localSheetId="4" hidden="1">200</definedName>
    <definedName name="solver_rhs2" localSheetId="22" hidden="1">60</definedName>
    <definedName name="solver_rhs2" localSheetId="20" hidden="1">60</definedName>
    <definedName name="solver_rhs2" localSheetId="11" hidden="1">60</definedName>
    <definedName name="solver_rhs2" localSheetId="16" hidden="1">60</definedName>
    <definedName name="solver_rhs2" localSheetId="15" hidden="1">60</definedName>
    <definedName name="solver_rhs2" localSheetId="10" hidden="1">RCUT!$D$15</definedName>
    <definedName name="solver_rhs2" localSheetId="4" hidden="1">60</definedName>
    <definedName name="solver_rhs3" localSheetId="22" hidden="1">60</definedName>
    <definedName name="solver_rlx" localSheetId="22" hidden="1">2</definedName>
    <definedName name="solver_rlx" localSheetId="19" hidden="1">2</definedName>
    <definedName name="solver_rlx" localSheetId="20" hidden="1">2</definedName>
    <definedName name="solver_rlx" localSheetId="11" hidden="1">2</definedName>
    <definedName name="solver_rlx" localSheetId="16" hidden="1">2</definedName>
    <definedName name="solver_rlx" localSheetId="15" hidden="1">2</definedName>
    <definedName name="solver_rlx" localSheetId="10" hidden="1">2</definedName>
    <definedName name="solver_rlx" localSheetId="4" hidden="1">2</definedName>
    <definedName name="solver_rsd" localSheetId="22" hidden="1">0</definedName>
    <definedName name="solver_rsd" localSheetId="19" hidden="1">0</definedName>
    <definedName name="solver_rsd" localSheetId="20" hidden="1">0</definedName>
    <definedName name="solver_rsd" localSheetId="11" hidden="1">0</definedName>
    <definedName name="solver_rsd" localSheetId="16" hidden="1">0</definedName>
    <definedName name="solver_rsd" localSheetId="15" hidden="1">0</definedName>
    <definedName name="solver_rsd" localSheetId="10" hidden="1">0</definedName>
    <definedName name="solver_rsd" localSheetId="4" hidden="1">0</definedName>
    <definedName name="solver_scl" localSheetId="22" hidden="1">1</definedName>
    <definedName name="solver_scl" localSheetId="19" hidden="1">2</definedName>
    <definedName name="solver_scl" localSheetId="20" hidden="1">1</definedName>
    <definedName name="solver_scl" localSheetId="11" hidden="1">1</definedName>
    <definedName name="solver_scl" localSheetId="16" hidden="1">1</definedName>
    <definedName name="solver_scl" localSheetId="15" hidden="1">1</definedName>
    <definedName name="solver_scl" localSheetId="10" hidden="1">1</definedName>
    <definedName name="solver_scl" localSheetId="4" hidden="1">2</definedName>
    <definedName name="solver_sho" localSheetId="22" hidden="1">2</definedName>
    <definedName name="solver_sho" localSheetId="19" hidden="1">2</definedName>
    <definedName name="solver_sho" localSheetId="20" hidden="1">2</definedName>
    <definedName name="solver_sho" localSheetId="11" hidden="1">2</definedName>
    <definedName name="solver_sho" localSheetId="16" hidden="1">2</definedName>
    <definedName name="solver_sho" localSheetId="15" hidden="1">2</definedName>
    <definedName name="solver_sho" localSheetId="10" hidden="1">2</definedName>
    <definedName name="solver_sho" localSheetId="4" hidden="1">2</definedName>
    <definedName name="solver_ssz" localSheetId="22" hidden="1">100</definedName>
    <definedName name="solver_ssz" localSheetId="19" hidden="1">100</definedName>
    <definedName name="solver_ssz" localSheetId="20" hidden="1">100</definedName>
    <definedName name="solver_ssz" localSheetId="11" hidden="1">100</definedName>
    <definedName name="solver_ssz" localSheetId="16" hidden="1">100</definedName>
    <definedName name="solver_ssz" localSheetId="15" hidden="1">100</definedName>
    <definedName name="solver_ssz" localSheetId="10" hidden="1">100</definedName>
    <definedName name="solver_ssz" localSheetId="4" hidden="1">100</definedName>
    <definedName name="solver_tim" localSheetId="22" hidden="1">2147483647</definedName>
    <definedName name="solver_tim" localSheetId="19" hidden="1">2147483647</definedName>
    <definedName name="solver_tim" localSheetId="20" hidden="1">2147483647</definedName>
    <definedName name="solver_tim" localSheetId="11" hidden="1">2147483647</definedName>
    <definedName name="solver_tim" localSheetId="16" hidden="1">2147483647</definedName>
    <definedName name="solver_tim" localSheetId="15" hidden="1">2147483647</definedName>
    <definedName name="solver_tim" localSheetId="10" hidden="1">2147483647</definedName>
    <definedName name="solver_tim" localSheetId="4" hidden="1">2147483647</definedName>
    <definedName name="solver_tol" localSheetId="22" hidden="1">0.01</definedName>
    <definedName name="solver_tol" localSheetId="19" hidden="1">0.01</definedName>
    <definedName name="solver_tol" localSheetId="20" hidden="1">0.01</definedName>
    <definedName name="solver_tol" localSheetId="11" hidden="1">0.01</definedName>
    <definedName name="solver_tol" localSheetId="16" hidden="1">0.01</definedName>
    <definedName name="solver_tol" localSheetId="15" hidden="1">0.01</definedName>
    <definedName name="solver_tol" localSheetId="10" hidden="1">0.01</definedName>
    <definedName name="solver_tol" localSheetId="4" hidden="1">0.01</definedName>
    <definedName name="solver_typ" localSheetId="22" hidden="1">2</definedName>
    <definedName name="solver_typ" localSheetId="19" hidden="1">2</definedName>
    <definedName name="solver_typ" localSheetId="20" hidden="1">2</definedName>
    <definedName name="solver_typ" localSheetId="11" hidden="1">2</definedName>
    <definedName name="solver_typ" localSheetId="16" hidden="1">2</definedName>
    <definedName name="solver_typ" localSheetId="15" hidden="1">2</definedName>
    <definedName name="solver_typ" localSheetId="10" hidden="1">2</definedName>
    <definedName name="solver_typ" localSheetId="4" hidden="1">2</definedName>
    <definedName name="solver_val" localSheetId="22" hidden="1">0</definedName>
    <definedName name="solver_val" localSheetId="19" hidden="1">0</definedName>
    <definedName name="solver_val" localSheetId="20" hidden="1">0</definedName>
    <definedName name="solver_val" localSheetId="11" hidden="1">0</definedName>
    <definedName name="solver_val" localSheetId="16" hidden="1">0</definedName>
    <definedName name="solver_val" localSheetId="15" hidden="1">0</definedName>
    <definedName name="solver_val" localSheetId="10" hidden="1">0</definedName>
    <definedName name="solver_val" localSheetId="4" hidden="1">0</definedName>
    <definedName name="solver_ver" localSheetId="22" hidden="1">3</definedName>
    <definedName name="solver_ver" localSheetId="19" hidden="1">3</definedName>
    <definedName name="solver_ver" localSheetId="20" hidden="1">3</definedName>
    <definedName name="solver_ver" localSheetId="11" hidden="1">3</definedName>
    <definedName name="solver_ver" localSheetId="16" hidden="1">3</definedName>
    <definedName name="solver_ver" localSheetId="15" hidden="1">3</definedName>
    <definedName name="solver_ver" localSheetId="10" hidden="1">3</definedName>
    <definedName name="solver_ver" localSheetId="4" hidden="1">3</definedName>
    <definedName name="Speed.Drop">#REF!</definedName>
    <definedName name="SPUI_Ramps">'[1]Multimodal Ped'!$AO$27</definedName>
    <definedName name="SPUI_w_Rndabt">'[1]Multimodal Ped'!$AO$29</definedName>
    <definedName name="StreetTrees">[2]Refs!$A$2:$A$3</definedName>
    <definedName name="Summary_Include_1x1">'[1]2 - Base and Alt Sel'!$C$70</definedName>
    <definedName name="Summary_Include_1x2">'[1]2 - Base and Alt Sel'!$C$71</definedName>
    <definedName name="Summary_Include_2x1">'[1]2 - Base and Alt Sel'!$C$72</definedName>
    <definedName name="Summary_Include_2x2">'[1]2 - Base and Alt Sel'!$C$73</definedName>
    <definedName name="Summary_Include_50ICD">'[1]2 - Base and Alt Sel'!$C$68</definedName>
    <definedName name="Summary_Include_75ICD">'[1]2 - Base and Alt Sel'!$C$69</definedName>
    <definedName name="Summary_Include_AGI">'[1]2 - Base and Alt Sel'!$C$47</definedName>
    <definedName name="Summary_Include_AWSC">'[1]2 - Base and Alt Sel'!$C$50</definedName>
    <definedName name="Summary_Include_Bowtie">'[1]2 - Base and Alt Sel'!$C$62</definedName>
    <definedName name="Summary_Include_CGT">'[1]2 - Base and Alt Sel'!$C$51</definedName>
    <definedName name="Summary_Include_CLI">'[1]2 - Base and Alt Sel'!$C$80</definedName>
    <definedName name="Summary_Include_Conv">'[1]2 - Base and Alt Sel'!$C$48</definedName>
    <definedName name="Summary_Include_CTO">'[1]2 - Base and Alt Sel'!$C$66</definedName>
    <definedName name="Summary_Include_DDI">'[1]2 - Base and Alt Sel'!$C$81</definedName>
    <definedName name="Summary_Include_Diamond">'[1]2 - Base and Alt Sel'!$C$76</definedName>
    <definedName name="Summary_Include_DLT">'[1]2 - Base and Alt Sel'!$C$57</definedName>
    <definedName name="Summary_Include_DLTI">'[1]2 - Base and Alt Sel'!$C$79</definedName>
    <definedName name="Summary_Include_Echelon">'[1]2 - Base and Alt Sel'!$C$65</definedName>
    <definedName name="Summary_Include_GSIntx">'[1]2 - Base and Alt Sel'!$C$64</definedName>
    <definedName name="Summary_Include_Interchange">'[1]2 - Base and Alt Sel'!$C$75</definedName>
    <definedName name="Summary_Include_MUT">'[1]2 - Base and Alt Sel'!$C$60</definedName>
    <definedName name="Summary_Include_PCLA">'[1]2 - Base and Alt Sel'!$C$77</definedName>
    <definedName name="Summary_Include_PCLB">'[1]2 - Base and Alt Sel'!$C$78</definedName>
    <definedName name="Summary_Include_PDLT">'[1]2 - Base and Alt Sel'!$C$56</definedName>
    <definedName name="Summary_Include_PMUT">'[1]2 - Base and Alt Sel'!$C$61</definedName>
    <definedName name="Summary_Include_QR_NE">'[1]2 - Base and Alt Sel'!$C$53</definedName>
    <definedName name="Summary_Include_QR_NW">'[1]2 - Base and Alt Sel'!$C$55</definedName>
    <definedName name="Summary_Include_QR_SE">'[1]2 - Base and Alt Sel'!$C$54</definedName>
    <definedName name="Summary_Include_QR_SW">'[1]2 - Base and Alt Sel'!$C$52</definedName>
    <definedName name="Summary_Include_RCUT">'[1]2 - Base and Alt Sel'!$C$58</definedName>
    <definedName name="Summary_Include_Rdbt">'[1]2 - Base and Alt Sel'!$C$67</definedName>
    <definedName name="Summary_Include_SPIRAB">'[1]2 - Base and Alt Sel'!$C$83</definedName>
    <definedName name="Summary_Include_SplitIntx">'[1]2 - Base and Alt Sel'!$C$63</definedName>
    <definedName name="Summary_Include_SPUI">'[1]2 - Base and Alt Sel'!$C$82</definedName>
    <definedName name="Summary_Include_TWSC">'[1]2 - Base and Alt Sel'!$C$49</definedName>
    <definedName name="Summary_Include_URCUT">'[1]2 - Base and Alt Sel'!$C$59</definedName>
    <definedName name="TableRightTurnEquiv">#REF!</definedName>
    <definedName name="Truck_Adjustment_Factor">'[1]1 - Volume Input'!$AU$44</definedName>
    <definedName name="Two_Ln_Rndabt_Speed">'[1]Multimodal Ped'!$P$29</definedName>
    <definedName name="UTAF">'[1]1 - Volume Input'!$K$40</definedName>
    <definedName name="Volume_Level_High">#REF!</definedName>
    <definedName name="Volume_Level_Low">#REF!</definedName>
    <definedName name="Volume_Level_Med">#REF!</definedName>
    <definedName name="WB_Growth_Factor">'[1]1 - Volume Input'!$AY$34</definedName>
    <definedName name="WB_Truck_Percentage">'[1]1 - Volume Input'!$AQ$34</definedName>
    <definedName name="WBL_Master">'[1]1 - Volume Input'!$AA$76</definedName>
    <definedName name="WBleftLanes">SIGNAL!$F$12</definedName>
    <definedName name="WBR_Master">'[1]1 - Volume Input'!$AQ$76</definedName>
    <definedName name="WBT_Master">'[1]1 - Volume Input'!$AI$76</definedName>
    <definedName name="WBU_Master">'[1]1 - Volume Input'!$S$76</definedName>
    <definedName name="YieldingRates">'[4]One Leg One Stage'!#REF!</definedName>
    <definedName name="YieldingTypes">'[4]One Leg One Stage'!#REF!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9" l="1"/>
  <c r="O65" i="6" l="1"/>
  <c r="E13" i="20" l="1"/>
  <c r="E10" i="20"/>
  <c r="E11" i="7"/>
  <c r="C16" i="11"/>
  <c r="E10" i="6"/>
  <c r="E9" i="16"/>
  <c r="E8" i="16"/>
  <c r="C15" i="17"/>
  <c r="C15" i="16"/>
  <c r="H62" i="2"/>
  <c r="K72" i="5"/>
  <c r="C8" i="10"/>
  <c r="N54" i="2"/>
  <c r="N57" i="2" l="1"/>
  <c r="B19" i="8" l="1"/>
  <c r="L1" i="12"/>
  <c r="G1" i="21"/>
  <c r="H2" i="9"/>
  <c r="A1" i="13"/>
  <c r="H63" i="10" l="1"/>
  <c r="G63" i="10"/>
  <c r="F63" i="10"/>
  <c r="E63" i="10"/>
  <c r="D63" i="10"/>
  <c r="C63" i="10"/>
  <c r="N63" i="10"/>
  <c r="M63" i="10"/>
  <c r="L63" i="10"/>
  <c r="K63" i="10"/>
  <c r="J63" i="10"/>
  <c r="I63" i="10"/>
  <c r="F33" i="14" l="1"/>
  <c r="E24" i="14" s="1"/>
  <c r="E25" i="14" l="1"/>
  <c r="E26" i="14"/>
  <c r="E27" i="14"/>
  <c r="E76" i="7" l="1"/>
  <c r="D19" i="19" l="1"/>
  <c r="B19" i="19"/>
  <c r="E16" i="11"/>
  <c r="E16" i="7"/>
  <c r="C16" i="7"/>
  <c r="E16" i="18"/>
  <c r="C16" i="18"/>
  <c r="E15" i="16"/>
  <c r="E15" i="17"/>
  <c r="E15" i="20"/>
  <c r="C15" i="20"/>
  <c r="E15" i="6" l="1"/>
  <c r="C15" i="6"/>
  <c r="D19" i="5" l="1"/>
  <c r="B19" i="5"/>
  <c r="D15" i="4"/>
  <c r="B15" i="4"/>
  <c r="D19" i="8"/>
  <c r="D19" i="3"/>
  <c r="B19" i="3"/>
  <c r="D19" i="1"/>
  <c r="B19" i="1"/>
  <c r="O83" i="11" l="1"/>
  <c r="N83" i="11"/>
  <c r="O90" i="7" l="1"/>
  <c r="N90" i="7"/>
  <c r="O64" i="7"/>
  <c r="N64" i="7"/>
  <c r="R58" i="16" l="1"/>
  <c r="K66" i="16" l="1"/>
  <c r="K72" i="6"/>
  <c r="N60" i="2" l="1"/>
  <c r="N56" i="2"/>
  <c r="Q56" i="2" s="1"/>
  <c r="N58" i="2"/>
  <c r="Q58" i="2" s="1"/>
  <c r="Q57" i="2"/>
  <c r="N66" i="2"/>
  <c r="N63" i="2"/>
  <c r="N77" i="4"/>
  <c r="N59" i="2" l="1"/>
  <c r="Q59" i="2" s="1"/>
  <c r="N61" i="2"/>
  <c r="Q61" i="2" s="1"/>
  <c r="Q60" i="2"/>
  <c r="Q63" i="2"/>
  <c r="N64" i="2"/>
  <c r="N62" i="2"/>
  <c r="Q62" i="2" s="1"/>
  <c r="N65" i="2"/>
  <c r="Q65" i="2" s="1"/>
  <c r="Q66" i="2"/>
  <c r="N67" i="2"/>
  <c r="Q67" i="2" s="1"/>
  <c r="F32" i="14"/>
  <c r="Q64" i="2" l="1"/>
  <c r="C5" i="10" s="1"/>
  <c r="K77" i="4" l="1"/>
  <c r="F10" i="14" l="1"/>
  <c r="H10" i="14" s="1"/>
  <c r="J30" i="14" l="1"/>
  <c r="C48" i="10" l="1"/>
  <c r="C7" i="10" l="1"/>
  <c r="D7" i="10"/>
  <c r="E7" i="10"/>
  <c r="F7" i="10"/>
  <c r="G7" i="10"/>
  <c r="H7" i="10"/>
  <c r="O22" i="21" l="1"/>
  <c r="N22" i="21" s="1"/>
  <c r="L22" i="21"/>
  <c r="K22" i="21" s="1"/>
  <c r="I22" i="21"/>
  <c r="H22" i="21" s="1"/>
  <c r="F22" i="21"/>
  <c r="E22" i="21" s="1"/>
  <c r="M22" i="21"/>
  <c r="J22" i="21"/>
  <c r="G22" i="21"/>
  <c r="D22" i="21"/>
  <c r="O12" i="21" l="1"/>
  <c r="N12" i="21"/>
  <c r="M12" i="21"/>
  <c r="L12" i="21"/>
  <c r="K12" i="21"/>
  <c r="J12" i="21"/>
  <c r="I12" i="21"/>
  <c r="H12" i="21"/>
  <c r="G12" i="21"/>
  <c r="F12" i="21"/>
  <c r="E12" i="21"/>
  <c r="D12" i="21"/>
  <c r="D6" i="21"/>
  <c r="D5" i="21"/>
  <c r="E13" i="21" l="1"/>
  <c r="E14" i="21" s="1"/>
  <c r="E15" i="21" s="1"/>
  <c r="K13" i="21"/>
  <c r="K14" i="21" s="1"/>
  <c r="K15" i="21" s="1"/>
  <c r="G13" i="21"/>
  <c r="G14" i="21" s="1"/>
  <c r="G15" i="21" s="1"/>
  <c r="M13" i="21"/>
  <c r="M14" i="21" s="1"/>
  <c r="M15" i="21" s="1"/>
  <c r="J13" i="21"/>
  <c r="J14" i="21" s="1"/>
  <c r="J15" i="21" s="1"/>
  <c r="H13" i="21"/>
  <c r="H14" i="21" s="1"/>
  <c r="H15" i="21" s="1"/>
  <c r="N13" i="21"/>
  <c r="N14" i="21" s="1"/>
  <c r="N15" i="21" s="1"/>
  <c r="I13" i="21"/>
  <c r="I14" i="21" s="1"/>
  <c r="I15" i="21" s="1"/>
  <c r="O13" i="21"/>
  <c r="O14" i="21" s="1"/>
  <c r="O15" i="21" s="1"/>
  <c r="D13" i="21"/>
  <c r="D14" i="21" s="1"/>
  <c r="D15" i="21" s="1"/>
  <c r="F13" i="21"/>
  <c r="F14" i="21" s="1"/>
  <c r="F15" i="21" s="1"/>
  <c r="L13" i="21"/>
  <c r="L14" i="21" s="1"/>
  <c r="L15" i="21" s="1"/>
  <c r="Q68" i="3"/>
  <c r="N69" i="3"/>
  <c r="K68" i="3"/>
  <c r="T52" i="1"/>
  <c r="E20" i="21" l="1"/>
  <c r="E21" i="21"/>
  <c r="H21" i="21"/>
  <c r="N20" i="21"/>
  <c r="L20" i="21"/>
  <c r="J20" i="21" s="1"/>
  <c r="J21" i="21"/>
  <c r="O20" i="21"/>
  <c r="M20" i="21" s="1"/>
  <c r="I20" i="21"/>
  <c r="G20" i="21" s="1"/>
  <c r="K20" i="21"/>
  <c r="K21" i="21"/>
  <c r="K25" i="21" s="1"/>
  <c r="F20" i="21"/>
  <c r="D20" i="21" s="1"/>
  <c r="D21" i="21"/>
  <c r="M21" i="21"/>
  <c r="G21" i="21"/>
  <c r="N21" i="21"/>
  <c r="N25" i="21" s="1"/>
  <c r="K19" i="21"/>
  <c r="J19" i="21" s="1"/>
  <c r="N19" i="21"/>
  <c r="E19" i="21"/>
  <c r="H19" i="21"/>
  <c r="K10" i="9"/>
  <c r="J10" i="9"/>
  <c r="I10" i="9"/>
  <c r="H10" i="9"/>
  <c r="G10" i="9"/>
  <c r="F10" i="9"/>
  <c r="E10" i="9"/>
  <c r="E25" i="21" l="1"/>
  <c r="E23" i="21" s="1"/>
  <c r="E24" i="21"/>
  <c r="K23" i="21"/>
  <c r="N23" i="21"/>
  <c r="H25" i="21"/>
  <c r="H23" i="21" s="1"/>
  <c r="H24" i="21"/>
  <c r="J25" i="21"/>
  <c r="J23" i="21" s="1"/>
  <c r="J24" i="21"/>
  <c r="G25" i="21"/>
  <c r="M25" i="21"/>
  <c r="M24" i="21"/>
  <c r="D25" i="21"/>
  <c r="G24" i="21"/>
  <c r="L21" i="21"/>
  <c r="N24" i="21"/>
  <c r="K24" i="21"/>
  <c r="F21" i="21"/>
  <c r="F25" i="21" s="1"/>
  <c r="D24" i="21"/>
  <c r="O21" i="21"/>
  <c r="O25" i="21" s="1"/>
  <c r="I21" i="21"/>
  <c r="I19" i="21"/>
  <c r="G19" i="21"/>
  <c r="O19" i="21"/>
  <c r="M19" i="21"/>
  <c r="F19" i="21"/>
  <c r="D19" i="21"/>
  <c r="L19" i="21"/>
  <c r="M1" i="13"/>
  <c r="O23" i="21" l="1"/>
  <c r="O26" i="21" s="1"/>
  <c r="M23" i="21"/>
  <c r="M26" i="21" s="1"/>
  <c r="M27" i="21" s="1"/>
  <c r="M28" i="21" s="1"/>
  <c r="G23" i="21"/>
  <c r="G26" i="21" s="1"/>
  <c r="G27" i="21" s="1"/>
  <c r="G28" i="21" s="1"/>
  <c r="D23" i="21"/>
  <c r="D26" i="21" s="1"/>
  <c r="D27" i="21" s="1"/>
  <c r="F23" i="21"/>
  <c r="F26" i="21" s="1"/>
  <c r="L25" i="21"/>
  <c r="L23" i="21" s="1"/>
  <c r="L26" i="21" s="1"/>
  <c r="I25" i="21"/>
  <c r="I23" i="21" s="1"/>
  <c r="I26" i="21" s="1"/>
  <c r="L24" i="21"/>
  <c r="F24" i="21"/>
  <c r="O24" i="21"/>
  <c r="I24" i="21"/>
  <c r="N26" i="21"/>
  <c r="H26" i="21"/>
  <c r="H27" i="21" s="1"/>
  <c r="K26" i="21"/>
  <c r="J26" i="21"/>
  <c r="J27" i="21" s="1"/>
  <c r="K14" i="15"/>
  <c r="K13" i="15"/>
  <c r="K12" i="15"/>
  <c r="K11" i="15"/>
  <c r="K10" i="15"/>
  <c r="K9" i="15"/>
  <c r="K8" i="15"/>
  <c r="K7" i="15"/>
  <c r="O27" i="21" l="1"/>
  <c r="O28" i="21" s="1"/>
  <c r="O29" i="21" s="1"/>
  <c r="I27" i="21"/>
  <c r="I28" i="21" s="1"/>
  <c r="I29" i="21" s="1"/>
  <c r="H28" i="21"/>
  <c r="H29" i="21" s="1"/>
  <c r="J28" i="21"/>
  <c r="J29" i="21" s="1"/>
  <c r="D28" i="21"/>
  <c r="D29" i="21" s="1"/>
  <c r="N27" i="21"/>
  <c r="M29" i="21"/>
  <c r="L27" i="21"/>
  <c r="K27" i="21"/>
  <c r="G29" i="21"/>
  <c r="F27" i="21"/>
  <c r="N33" i="10"/>
  <c r="M33" i="10"/>
  <c r="L33" i="10"/>
  <c r="K33" i="10"/>
  <c r="J33" i="10"/>
  <c r="I33" i="10"/>
  <c r="H33" i="10"/>
  <c r="G33" i="10"/>
  <c r="F33" i="10"/>
  <c r="E33" i="10"/>
  <c r="D33" i="10"/>
  <c r="C33" i="10"/>
  <c r="K28" i="21" l="1"/>
  <c r="K29" i="21" s="1"/>
  <c r="L28" i="21"/>
  <c r="L29" i="21" s="1"/>
  <c r="N28" i="21"/>
  <c r="N29" i="21" s="1"/>
  <c r="F28" i="21"/>
  <c r="F29" i="21" s="1"/>
  <c r="S35" i="10" l="1"/>
  <c r="S33" i="10"/>
  <c r="S31" i="10"/>
  <c r="S30" i="10"/>
  <c r="C41" i="10"/>
  <c r="E34" i="10" l="1"/>
  <c r="N32" i="10" l="1"/>
  <c r="K32" i="10"/>
  <c r="H32" i="10"/>
  <c r="E32" i="10"/>
  <c r="M73" i="8" l="1"/>
  <c r="Q11" i="20" l="1"/>
  <c r="P11" i="20"/>
  <c r="O11" i="20"/>
  <c r="N11" i="20"/>
  <c r="M11" i="20"/>
  <c r="E8" i="20"/>
  <c r="L11" i="20"/>
  <c r="E16" i="20"/>
  <c r="E14" i="20"/>
  <c r="E12" i="20"/>
  <c r="E11" i="20"/>
  <c r="E9" i="20"/>
  <c r="E7" i="20"/>
  <c r="E6" i="20"/>
  <c r="N9" i="20" s="1"/>
  <c r="E5" i="20"/>
  <c r="L62" i="20"/>
  <c r="L57" i="20"/>
  <c r="L63" i="20" s="1"/>
  <c r="M36" i="20"/>
  <c r="M35" i="20"/>
  <c r="M34" i="20"/>
  <c r="M33" i="20"/>
  <c r="M32" i="20"/>
  <c r="M31" i="20"/>
  <c r="M27" i="20"/>
  <c r="M63" i="20" l="1"/>
  <c r="K36" i="20"/>
  <c r="K35" i="20"/>
  <c r="M12" i="20"/>
  <c r="M13" i="20" s="1"/>
  <c r="M14" i="20" s="1"/>
  <c r="L38" i="20" s="1"/>
  <c r="L47" i="20" s="1"/>
  <c r="L70" i="20" s="1"/>
  <c r="L12" i="20"/>
  <c r="L13" i="20" s="1"/>
  <c r="L14" i="20" s="1"/>
  <c r="L40" i="20" s="1"/>
  <c r="L49" i="20" s="1"/>
  <c r="Q12" i="20"/>
  <c r="Q13" i="20" s="1"/>
  <c r="Q14" i="20" s="1"/>
  <c r="L41" i="20" s="1"/>
  <c r="L50" i="20" s="1"/>
  <c r="N12" i="20"/>
  <c r="N13" i="20" s="1"/>
  <c r="N14" i="20" s="1"/>
  <c r="L43" i="20" s="1"/>
  <c r="L52" i="20" s="1"/>
  <c r="O12" i="20"/>
  <c r="O13" i="20" s="1"/>
  <c r="O14" i="20" s="1"/>
  <c r="L42" i="20" s="1"/>
  <c r="L51" i="20" s="1"/>
  <c r="P12" i="20"/>
  <c r="P13" i="20" s="1"/>
  <c r="P14" i="20" s="1"/>
  <c r="P9" i="20"/>
  <c r="L9" i="20"/>
  <c r="L60" i="20"/>
  <c r="L61" i="20"/>
  <c r="L39" i="20" l="1"/>
  <c r="L48" i="20" s="1"/>
  <c r="L53" i="20" s="1"/>
  <c r="L65" i="20" s="1"/>
  <c r="K34" i="20"/>
  <c r="K32" i="20"/>
  <c r="K33" i="20"/>
  <c r="K31" i="20"/>
  <c r="L82" i="20"/>
  <c r="L44" i="20" l="1"/>
  <c r="M44" i="20" s="1"/>
  <c r="L72" i="20"/>
  <c r="M65" i="20"/>
  <c r="L64" i="20"/>
  <c r="M15" i="20"/>
  <c r="M17" i="20" s="1"/>
  <c r="M19" i="20" s="1"/>
  <c r="L89" i="20"/>
  <c r="L55" i="20"/>
  <c r="M88" i="20"/>
  <c r="L68" i="20"/>
  <c r="M68" i="20" s="1"/>
  <c r="L84" i="20" l="1"/>
  <c r="L15" i="20" s="1"/>
  <c r="L17" i="20" s="1"/>
  <c r="L71" i="20"/>
  <c r="L77" i="20"/>
  <c r="L79" i="20" s="1"/>
  <c r="M64" i="20"/>
  <c r="L75" i="20"/>
  <c r="L67" i="20"/>
  <c r="M67" i="20" s="1"/>
  <c r="L66" i="20"/>
  <c r="M66" i="20" s="1"/>
  <c r="L83" i="20" l="1"/>
  <c r="L90" i="20" s="1"/>
  <c r="L91" i="20"/>
  <c r="M91" i="20" s="1"/>
  <c r="L87" i="20"/>
  <c r="L94" i="20" s="1"/>
  <c r="L19" i="20"/>
  <c r="L74" i="20"/>
  <c r="L73" i="20"/>
  <c r="P15" i="20" l="1"/>
  <c r="P17" i="20" s="1"/>
  <c r="P19" i="20" s="1"/>
  <c r="G30" i="14"/>
  <c r="N15" i="20"/>
  <c r="N17" i="20" s="1"/>
  <c r="N19" i="20" s="1"/>
  <c r="L85" i="20"/>
  <c r="Q15" i="20" s="1"/>
  <c r="Q17" i="20" s="1"/>
  <c r="Q19" i="20" s="1"/>
  <c r="L86" i="20"/>
  <c r="O15" i="20" s="1"/>
  <c r="O17" i="20" s="1"/>
  <c r="L92" i="20" l="1"/>
  <c r="L88" i="20"/>
  <c r="O21" i="20" s="1"/>
  <c r="I30" i="14" s="1"/>
  <c r="L93" i="20"/>
  <c r="O19" i="20"/>
  <c r="O20" i="20"/>
  <c r="H30" i="14" s="1"/>
  <c r="P21" i="20" l="1"/>
  <c r="P20" i="20"/>
  <c r="P10" i="9" l="1"/>
  <c r="O10" i="9"/>
  <c r="N10" i="9"/>
  <c r="M10" i="9"/>
  <c r="L10" i="9"/>
  <c r="U10" i="19"/>
  <c r="T10" i="19"/>
  <c r="S10" i="19"/>
  <c r="R10" i="19"/>
  <c r="Q10" i="19"/>
  <c r="P10" i="19"/>
  <c r="O10" i="19"/>
  <c r="N10" i="19"/>
  <c r="M10" i="19"/>
  <c r="L10" i="19"/>
  <c r="K10" i="19"/>
  <c r="J10" i="19"/>
  <c r="D20" i="19"/>
  <c r="D18" i="19"/>
  <c r="O26" i="19" s="1"/>
  <c r="D17" i="19"/>
  <c r="D16" i="19"/>
  <c r="D15" i="19"/>
  <c r="D10" i="19"/>
  <c r="D9" i="19"/>
  <c r="D8" i="19"/>
  <c r="D7" i="19"/>
  <c r="S15" i="19" s="1"/>
  <c r="D6" i="19"/>
  <c r="N9" i="19" s="1"/>
  <c r="D5" i="19"/>
  <c r="E65" i="19"/>
  <c r="D65" i="19"/>
  <c r="D64" i="19"/>
  <c r="C64" i="19"/>
  <c r="E63" i="19"/>
  <c r="D63" i="19"/>
  <c r="E62" i="19"/>
  <c r="D62" i="19"/>
  <c r="M58" i="19"/>
  <c r="N58" i="19" s="1"/>
  <c r="E58" i="19"/>
  <c r="D58" i="19"/>
  <c r="N57" i="19"/>
  <c r="E57" i="19"/>
  <c r="D57" i="19"/>
  <c r="C57" i="19"/>
  <c r="E56" i="19"/>
  <c r="D56" i="19"/>
  <c r="E55" i="19"/>
  <c r="E60" i="19" s="1"/>
  <c r="D55" i="19"/>
  <c r="E52" i="19"/>
  <c r="D52" i="19"/>
  <c r="E64" i="19" s="1"/>
  <c r="E51" i="19"/>
  <c r="D51" i="19"/>
  <c r="D60" i="19" l="1"/>
  <c r="J47" i="19" s="1"/>
  <c r="L64" i="19"/>
  <c r="L72" i="19" s="1"/>
  <c r="L33" i="19"/>
  <c r="L32" i="19"/>
  <c r="J29" i="19"/>
  <c r="J61" i="19" s="1"/>
  <c r="D67" i="19"/>
  <c r="P47" i="19" s="1"/>
  <c r="E67" i="19"/>
  <c r="K11" i="19"/>
  <c r="K12" i="19" s="1"/>
  <c r="K13" i="19" s="1"/>
  <c r="M36" i="19" s="1"/>
  <c r="Q9" i="19"/>
  <c r="K9" i="19"/>
  <c r="S11" i="19"/>
  <c r="S12" i="19" s="1"/>
  <c r="S13" i="19" s="1"/>
  <c r="Q11" i="19"/>
  <c r="Q12" i="19" s="1"/>
  <c r="Q13" i="19" s="1"/>
  <c r="N36" i="19" s="1"/>
  <c r="R11" i="19"/>
  <c r="R12" i="19" s="1"/>
  <c r="R13" i="19" s="1"/>
  <c r="P11" i="19"/>
  <c r="P12" i="19" s="1"/>
  <c r="P13" i="19" s="1"/>
  <c r="M11" i="19"/>
  <c r="M12" i="19" s="1"/>
  <c r="M13" i="19" s="1"/>
  <c r="O11" i="19"/>
  <c r="O12" i="19" s="1"/>
  <c r="O13" i="19" s="1"/>
  <c r="N11" i="19"/>
  <c r="N12" i="19" s="1"/>
  <c r="N13" i="19" s="1"/>
  <c r="U11" i="19"/>
  <c r="U12" i="19" s="1"/>
  <c r="U13" i="19" s="1"/>
  <c r="L11" i="19"/>
  <c r="L12" i="19" s="1"/>
  <c r="L13" i="19" s="1"/>
  <c r="T11" i="19"/>
  <c r="T12" i="19" s="1"/>
  <c r="T13" i="19" s="1"/>
  <c r="J11" i="19"/>
  <c r="J12" i="19" s="1"/>
  <c r="J13" i="19" s="1"/>
  <c r="J15" i="19"/>
  <c r="M15" i="19"/>
  <c r="P15" i="19"/>
  <c r="J48" i="19"/>
  <c r="T9" i="19"/>
  <c r="O65" i="19" l="1"/>
  <c r="O73" i="19" s="1"/>
  <c r="P48" i="19"/>
  <c r="L62" i="19"/>
  <c r="O63" i="19" s="1"/>
  <c r="O71" i="19" s="1"/>
  <c r="L30" i="19"/>
  <c r="L31" i="19"/>
  <c r="L65" i="19"/>
  <c r="L73" i="19" s="1"/>
  <c r="O32" i="19"/>
  <c r="P29" i="19"/>
  <c r="P61" i="19" s="1"/>
  <c r="O33" i="19"/>
  <c r="L63" i="19"/>
  <c r="O62" i="19" s="1"/>
  <c r="O70" i="19" s="1"/>
  <c r="O31" i="19"/>
  <c r="O30" i="19"/>
  <c r="J41" i="19"/>
  <c r="J51" i="19" s="1"/>
  <c r="P40" i="19"/>
  <c r="P41" i="19"/>
  <c r="P51" i="19" s="1"/>
  <c r="M38" i="19"/>
  <c r="N38" i="19"/>
  <c r="N45" i="19" s="1"/>
  <c r="P42" i="19"/>
  <c r="J40" i="19"/>
  <c r="N37" i="19"/>
  <c r="J42" i="19"/>
  <c r="M37" i="19"/>
  <c r="N39" i="19"/>
  <c r="N46" i="19" s="1"/>
  <c r="M39" i="19"/>
  <c r="M46" i="19" s="1"/>
  <c r="M45" i="19" l="1"/>
  <c r="L70" i="19"/>
  <c r="L71" i="19"/>
  <c r="O64" i="19"/>
  <c r="O72" i="19" s="1"/>
  <c r="N43" i="19"/>
  <c r="N44" i="19"/>
  <c r="M43" i="19"/>
  <c r="M44" i="19"/>
  <c r="P49" i="19"/>
  <c r="P50" i="19" s="1"/>
  <c r="P74" i="19" s="1"/>
  <c r="J52" i="19"/>
  <c r="J75" i="19" s="1"/>
  <c r="J49" i="19"/>
  <c r="J50" i="19" s="1"/>
  <c r="J77" i="19" s="1"/>
  <c r="P52" i="19"/>
  <c r="P75" i="19" s="1"/>
  <c r="M54" i="19" l="1"/>
  <c r="M55" i="19" s="1"/>
  <c r="M59" i="19"/>
  <c r="N59" i="19" s="1"/>
  <c r="N62" i="19" s="1"/>
  <c r="P76" i="19"/>
  <c r="P77" i="19"/>
  <c r="J74" i="19"/>
  <c r="J76" i="19" s="1"/>
  <c r="M63" i="19" l="1"/>
  <c r="M60" i="19"/>
  <c r="N60" i="19" s="1"/>
  <c r="N64" i="19" s="1"/>
  <c r="N72" i="19" s="1"/>
  <c r="M62" i="19"/>
  <c r="M66" i="19"/>
  <c r="M71" i="19" s="1"/>
  <c r="N66" i="19" l="1"/>
  <c r="M70" i="19"/>
  <c r="K14" i="19" s="1"/>
  <c r="K16" i="19" s="1"/>
  <c r="K18" i="19" s="1"/>
  <c r="N65" i="19"/>
  <c r="N73" i="19" s="1"/>
  <c r="U14" i="19" s="1"/>
  <c r="M67" i="19"/>
  <c r="N63" i="19"/>
  <c r="M65" i="19"/>
  <c r="M73" i="19" s="1"/>
  <c r="M64" i="19"/>
  <c r="M72" i="19" s="1"/>
  <c r="N14" i="19" s="1"/>
  <c r="N16" i="19" s="1"/>
  <c r="N18" i="19" s="1"/>
  <c r="N78" i="19"/>
  <c r="T14" i="19"/>
  <c r="T16" i="19" s="1"/>
  <c r="T18" i="19" s="1"/>
  <c r="O14" i="19" l="1"/>
  <c r="O16" i="19" s="1"/>
  <c r="O18" i="19" s="1"/>
  <c r="N79" i="19"/>
  <c r="N71" i="19"/>
  <c r="L14" i="19"/>
  <c r="L16" i="19" s="1"/>
  <c r="L18" i="19" s="1"/>
  <c r="U16" i="19"/>
  <c r="U18" i="19" s="1"/>
  <c r="J14" i="19"/>
  <c r="J16" i="19" s="1"/>
  <c r="M78" i="19"/>
  <c r="N70" i="19"/>
  <c r="Q14" i="19" s="1"/>
  <c r="Q16" i="19" s="1"/>
  <c r="Q18" i="19" s="1"/>
  <c r="N67" i="19"/>
  <c r="M79" i="19"/>
  <c r="S14" i="19"/>
  <c r="S16" i="19" s="1"/>
  <c r="S18" i="19" s="1"/>
  <c r="G31" i="14"/>
  <c r="M14" i="19"/>
  <c r="M16" i="19" s="1"/>
  <c r="M18" i="19" s="1"/>
  <c r="M76" i="19" l="1"/>
  <c r="U20" i="19"/>
  <c r="R14" i="19"/>
  <c r="R16" i="19" s="1"/>
  <c r="R18" i="19" s="1"/>
  <c r="P14" i="19"/>
  <c r="P16" i="19" s="1"/>
  <c r="P18" i="19" s="1"/>
  <c r="T17" i="19"/>
  <c r="N17" i="19"/>
  <c r="J18" i="19"/>
  <c r="K17" i="19"/>
  <c r="J20" i="19" l="1"/>
  <c r="K20" i="19" s="1"/>
  <c r="T19" i="19"/>
  <c r="U19" i="19" s="1"/>
  <c r="Q17" i="19"/>
  <c r="E6" i="18"/>
  <c r="L9" i="18" s="1"/>
  <c r="E6" i="17"/>
  <c r="L9" i="17" s="1"/>
  <c r="E6" i="16"/>
  <c r="L9" i="16" s="1"/>
  <c r="H31" i="14" l="1"/>
  <c r="L34" i="18"/>
  <c r="M34" i="18" s="1"/>
  <c r="L32" i="18"/>
  <c r="M32" i="18" s="1"/>
  <c r="M33" i="17"/>
  <c r="M31" i="17"/>
  <c r="L35" i="17"/>
  <c r="L31" i="17"/>
  <c r="R38" i="16"/>
  <c r="R37" i="16"/>
  <c r="L35" i="16"/>
  <c r="M33" i="16"/>
  <c r="L31" i="16"/>
  <c r="M31" i="16" s="1"/>
  <c r="V10" i="11"/>
  <c r="U10" i="11"/>
  <c r="T10" i="11"/>
  <c r="S10" i="11"/>
  <c r="R10" i="11"/>
  <c r="Q10" i="11"/>
  <c r="P10" i="11"/>
  <c r="O10" i="11"/>
  <c r="N10" i="11"/>
  <c r="M10" i="11"/>
  <c r="L10" i="11"/>
  <c r="K10" i="11"/>
  <c r="V10" i="18"/>
  <c r="U10" i="18"/>
  <c r="T10" i="18"/>
  <c r="S10" i="18"/>
  <c r="R10" i="18"/>
  <c r="Q10" i="18"/>
  <c r="P10" i="18"/>
  <c r="O10" i="18"/>
  <c r="N10" i="18"/>
  <c r="M10" i="18"/>
  <c r="L10" i="18"/>
  <c r="K10" i="18"/>
  <c r="E17" i="18"/>
  <c r="E15" i="18"/>
  <c r="E14" i="18"/>
  <c r="P27" i="18" s="1"/>
  <c r="E13" i="18"/>
  <c r="E12" i="18"/>
  <c r="E11" i="18"/>
  <c r="E10" i="18"/>
  <c r="E9" i="17"/>
  <c r="E9" i="18"/>
  <c r="E8" i="18"/>
  <c r="E5" i="18"/>
  <c r="Q111" i="18"/>
  <c r="Q99" i="18"/>
  <c r="N70" i="18"/>
  <c r="N69" i="18"/>
  <c r="N68" i="18"/>
  <c r="K68" i="18"/>
  <c r="Q67" i="18"/>
  <c r="O67" i="18"/>
  <c r="O68" i="18" s="1"/>
  <c r="O66" i="18"/>
  <c r="Q61" i="18"/>
  <c r="K61" i="18"/>
  <c r="K57" i="18"/>
  <c r="K56" i="18"/>
  <c r="V10" i="17"/>
  <c r="U10" i="17"/>
  <c r="T10" i="17"/>
  <c r="S10" i="17"/>
  <c r="R10" i="17"/>
  <c r="Q10" i="17"/>
  <c r="P10" i="17"/>
  <c r="O10" i="17"/>
  <c r="N10" i="17"/>
  <c r="M10" i="17"/>
  <c r="L10" i="17"/>
  <c r="K10" i="17"/>
  <c r="E16" i="17"/>
  <c r="E14" i="17"/>
  <c r="E13" i="17"/>
  <c r="P26" i="17" s="1"/>
  <c r="E12" i="17"/>
  <c r="E11" i="17"/>
  <c r="E10" i="17"/>
  <c r="E35" i="17" s="1"/>
  <c r="E8" i="17"/>
  <c r="E7" i="17"/>
  <c r="E5" i="17"/>
  <c r="Q98" i="17"/>
  <c r="N69" i="17"/>
  <c r="N68" i="17"/>
  <c r="N67" i="17"/>
  <c r="Q66" i="17"/>
  <c r="O66" i="17"/>
  <c r="O69" i="17" s="1"/>
  <c r="K66" i="17"/>
  <c r="K73" i="17" s="1"/>
  <c r="O65" i="17"/>
  <c r="Q60" i="17"/>
  <c r="K60" i="17"/>
  <c r="Q57" i="17"/>
  <c r="K57" i="17"/>
  <c r="Q54" i="17"/>
  <c r="K54" i="17"/>
  <c r="E5" i="16"/>
  <c r="V10" i="16"/>
  <c r="U10" i="16"/>
  <c r="T10" i="16"/>
  <c r="S10" i="16"/>
  <c r="R10" i="16"/>
  <c r="Q10" i="16"/>
  <c r="P10" i="16"/>
  <c r="O10" i="16"/>
  <c r="N10" i="16"/>
  <c r="M10" i="16"/>
  <c r="L10" i="16"/>
  <c r="K10" i="16"/>
  <c r="K44" i="16" s="1"/>
  <c r="E16" i="16"/>
  <c r="E14" i="16"/>
  <c r="E13" i="16"/>
  <c r="P26" i="16" s="1"/>
  <c r="E12" i="16"/>
  <c r="E11" i="16"/>
  <c r="E35" i="16"/>
  <c r="E7" i="16"/>
  <c r="Q98" i="16"/>
  <c r="Q110" i="16" s="1"/>
  <c r="K73" i="16"/>
  <c r="N69" i="16"/>
  <c r="N68" i="16"/>
  <c r="Q67" i="16"/>
  <c r="Q73" i="16" s="1"/>
  <c r="N67" i="16"/>
  <c r="O66" i="16"/>
  <c r="O69" i="16" s="1"/>
  <c r="O65" i="16"/>
  <c r="R59" i="16"/>
  <c r="L58" i="16"/>
  <c r="L59" i="16" s="1"/>
  <c r="K57" i="16"/>
  <c r="Q56" i="16"/>
  <c r="Q55" i="16"/>
  <c r="K54" i="16"/>
  <c r="K48" i="16"/>
  <c r="P11" i="16" l="1"/>
  <c r="P12" i="16" s="1"/>
  <c r="P13" i="16" s="1"/>
  <c r="Q74" i="18"/>
  <c r="K72" i="17"/>
  <c r="Q73" i="17"/>
  <c r="Q69" i="17" s="1"/>
  <c r="K72" i="16"/>
  <c r="K69" i="16"/>
  <c r="Q72" i="16"/>
  <c r="Q68" i="16" s="1"/>
  <c r="L11" i="18"/>
  <c r="L12" i="18" s="1"/>
  <c r="L13" i="18" s="1"/>
  <c r="O11" i="17"/>
  <c r="O12" i="17" s="1"/>
  <c r="O13" i="17" s="1"/>
  <c r="K11" i="16"/>
  <c r="K12" i="16" s="1"/>
  <c r="K13" i="16" s="1"/>
  <c r="S11" i="17"/>
  <c r="S12" i="17" s="1"/>
  <c r="S13" i="17" s="1"/>
  <c r="N43" i="17" s="1"/>
  <c r="N55" i="17" s="1"/>
  <c r="M11" i="17"/>
  <c r="M12" i="17" s="1"/>
  <c r="M13" i="17" s="1"/>
  <c r="N42" i="17" s="1"/>
  <c r="N54" i="17" s="1"/>
  <c r="S11" i="16"/>
  <c r="S12" i="16" s="1"/>
  <c r="S13" i="16" s="1"/>
  <c r="N43" i="16" s="1"/>
  <c r="Q11" i="18"/>
  <c r="Q12" i="18" s="1"/>
  <c r="Q13" i="18" s="1"/>
  <c r="N11" i="16"/>
  <c r="N12" i="16" s="1"/>
  <c r="N13" i="16" s="1"/>
  <c r="K47" i="16" s="1"/>
  <c r="K59" i="16" s="1"/>
  <c r="T11" i="16"/>
  <c r="T12" i="16" s="1"/>
  <c r="T13" i="16" s="1"/>
  <c r="Q45" i="16" s="1"/>
  <c r="Q57" i="16" s="1"/>
  <c r="V11" i="16"/>
  <c r="V12" i="16" s="1"/>
  <c r="V13" i="16" s="1"/>
  <c r="O43" i="16" s="1"/>
  <c r="K11" i="18"/>
  <c r="K12" i="18" s="1"/>
  <c r="K13" i="18" s="1"/>
  <c r="T11" i="18"/>
  <c r="T12" i="18" s="1"/>
  <c r="T13" i="18" s="1"/>
  <c r="Q11" i="16"/>
  <c r="Q12" i="16" s="1"/>
  <c r="Q13" i="16" s="1"/>
  <c r="K45" i="16" s="1"/>
  <c r="P11" i="18"/>
  <c r="P12" i="18" s="1"/>
  <c r="P13" i="18" s="1"/>
  <c r="O43" i="18" s="1"/>
  <c r="O55" i="18" s="1"/>
  <c r="L11" i="16"/>
  <c r="L12" i="16" s="1"/>
  <c r="L13" i="16" s="1"/>
  <c r="R11" i="16"/>
  <c r="R12" i="16" s="1"/>
  <c r="R13" i="16" s="1"/>
  <c r="O11" i="18"/>
  <c r="O12" i="18" s="1"/>
  <c r="O13" i="18" s="1"/>
  <c r="L11" i="17"/>
  <c r="L12" i="17" s="1"/>
  <c r="L13" i="17" s="1"/>
  <c r="O11" i="16"/>
  <c r="O12" i="16" s="1"/>
  <c r="O13" i="16" s="1"/>
  <c r="U11" i="17"/>
  <c r="U12" i="17" s="1"/>
  <c r="U13" i="17" s="1"/>
  <c r="U11" i="18"/>
  <c r="U12" i="18" s="1"/>
  <c r="U13" i="18" s="1"/>
  <c r="R11" i="18"/>
  <c r="R12" i="18" s="1"/>
  <c r="R13" i="18" s="1"/>
  <c r="M11" i="16"/>
  <c r="M12" i="16" s="1"/>
  <c r="M13" i="16" s="1"/>
  <c r="T11" i="17"/>
  <c r="T12" i="17" s="1"/>
  <c r="T13" i="17" s="1"/>
  <c r="N11" i="17"/>
  <c r="N12" i="17" s="1"/>
  <c r="N13" i="17" s="1"/>
  <c r="Q42" i="17" s="1"/>
  <c r="S11" i="18"/>
  <c r="S12" i="18" s="1"/>
  <c r="S13" i="18" s="1"/>
  <c r="N44" i="18" s="1"/>
  <c r="N56" i="18" s="1"/>
  <c r="M11" i="18"/>
  <c r="M12" i="18" s="1"/>
  <c r="M13" i="18" s="1"/>
  <c r="K11" i="17"/>
  <c r="K12" i="17" s="1"/>
  <c r="K13" i="17" s="1"/>
  <c r="K44" i="17" s="1"/>
  <c r="K56" i="17" s="1"/>
  <c r="Q11" i="17"/>
  <c r="Q12" i="17" s="1"/>
  <c r="Q13" i="17" s="1"/>
  <c r="K45" i="17" s="1"/>
  <c r="K116" i="17" s="1"/>
  <c r="V11" i="18"/>
  <c r="V12" i="18" s="1"/>
  <c r="V13" i="18" s="1"/>
  <c r="O44" i="18" s="1"/>
  <c r="O56" i="18" s="1"/>
  <c r="R11" i="17"/>
  <c r="R12" i="17" s="1"/>
  <c r="R13" i="17" s="1"/>
  <c r="U11" i="16"/>
  <c r="U12" i="16" s="1"/>
  <c r="U13" i="16" s="1"/>
  <c r="V11" i="17"/>
  <c r="V12" i="17" s="1"/>
  <c r="V13" i="17" s="1"/>
  <c r="O43" i="17" s="1"/>
  <c r="O55" i="17" s="1"/>
  <c r="P11" i="17"/>
  <c r="P12" i="17" s="1"/>
  <c r="P13" i="17" s="1"/>
  <c r="O42" i="17" s="1"/>
  <c r="O54" i="17" s="1"/>
  <c r="O69" i="18"/>
  <c r="O70" i="18"/>
  <c r="N11" i="18"/>
  <c r="N12" i="18" s="1"/>
  <c r="N13" i="18" s="1"/>
  <c r="E36" i="18"/>
  <c r="K74" i="18"/>
  <c r="O67" i="17"/>
  <c r="O68" i="17"/>
  <c r="Q15" i="17"/>
  <c r="N15" i="17"/>
  <c r="K15" i="17"/>
  <c r="T15" i="17"/>
  <c r="Q15" i="16"/>
  <c r="K56" i="16"/>
  <c r="T15" i="16"/>
  <c r="O68" i="16"/>
  <c r="N15" i="16"/>
  <c r="O67" i="16"/>
  <c r="K15" i="16"/>
  <c r="Q40" i="16" l="1"/>
  <c r="Q52" i="16" s="1"/>
  <c r="Q73" i="18"/>
  <c r="Q70" i="18" s="1"/>
  <c r="Q72" i="17"/>
  <c r="K69" i="17"/>
  <c r="K47" i="18"/>
  <c r="K59" i="18" s="1"/>
  <c r="N42" i="18"/>
  <c r="N54" i="18" s="1"/>
  <c r="Q42" i="18"/>
  <c r="Q54" i="18" s="1"/>
  <c r="K43" i="18"/>
  <c r="K55" i="18" s="1"/>
  <c r="N43" i="18"/>
  <c r="N55" i="18" s="1"/>
  <c r="Q46" i="18"/>
  <c r="Q58" i="18" s="1"/>
  <c r="K48" i="18"/>
  <c r="K60" i="18" s="1"/>
  <c r="K46" i="16"/>
  <c r="K58" i="16" s="1"/>
  <c r="O42" i="16"/>
  <c r="O54" i="16" s="1"/>
  <c r="O42" i="18"/>
  <c r="O54" i="18" s="1"/>
  <c r="Q41" i="18"/>
  <c r="Q53" i="18" s="1"/>
  <c r="Q44" i="17"/>
  <c r="Q56" i="17" s="1"/>
  <c r="Q43" i="17"/>
  <c r="Q55" i="17" s="1"/>
  <c r="Q45" i="17"/>
  <c r="K46" i="17"/>
  <c r="K58" i="17" s="1"/>
  <c r="K47" i="17"/>
  <c r="K59" i="17" s="1"/>
  <c r="K42" i="18"/>
  <c r="K54" i="18" s="1"/>
  <c r="K44" i="18"/>
  <c r="Q44" i="18"/>
  <c r="Q56" i="18" s="1"/>
  <c r="K73" i="18"/>
  <c r="K69" i="18" s="1"/>
  <c r="Q47" i="18"/>
  <c r="Q59" i="18" s="1"/>
  <c r="K45" i="18"/>
  <c r="N15" i="18"/>
  <c r="K15" i="18"/>
  <c r="T15" i="18"/>
  <c r="Q15" i="18"/>
  <c r="O41" i="18"/>
  <c r="O53" i="18" s="1"/>
  <c r="Q45" i="18"/>
  <c r="Q57" i="18" s="1"/>
  <c r="Q43" i="18"/>
  <c r="K46" i="18"/>
  <c r="K58" i="18" s="1"/>
  <c r="Q48" i="18"/>
  <c r="N41" i="18"/>
  <c r="N53" i="18" s="1"/>
  <c r="K41" i="18"/>
  <c r="Q47" i="17"/>
  <c r="Q59" i="17" s="1"/>
  <c r="O41" i="17"/>
  <c r="O53" i="17" s="1"/>
  <c r="K42" i="17"/>
  <c r="Q46" i="17"/>
  <c r="Q58" i="17" s="1"/>
  <c r="K43" i="17"/>
  <c r="K55" i="17" s="1"/>
  <c r="Q41" i="17"/>
  <c r="Q53" i="17" s="1"/>
  <c r="N41" i="17"/>
  <c r="N53" i="17" s="1"/>
  <c r="K41" i="17"/>
  <c r="K53" i="17" s="1"/>
  <c r="O40" i="17"/>
  <c r="O52" i="17" s="1"/>
  <c r="Q40" i="17"/>
  <c r="N40" i="17"/>
  <c r="K40" i="17"/>
  <c r="K40" i="16"/>
  <c r="K52" i="16" s="1"/>
  <c r="Q43" i="16"/>
  <c r="Q46" i="16"/>
  <c r="Q58" i="16" s="1"/>
  <c r="K43" i="16"/>
  <c r="K55" i="16" s="1"/>
  <c r="K42" i="16"/>
  <c r="N41" i="16"/>
  <c r="N53" i="16" s="1"/>
  <c r="N42" i="16"/>
  <c r="N54" i="16" s="1"/>
  <c r="Q44" i="16"/>
  <c r="N40" i="16"/>
  <c r="N52" i="16" s="1"/>
  <c r="Q47" i="16"/>
  <c r="Q59" i="16" s="1"/>
  <c r="O40" i="16"/>
  <c r="O52" i="16" s="1"/>
  <c r="K41" i="16"/>
  <c r="K53" i="16" s="1"/>
  <c r="Q42" i="16"/>
  <c r="Q41" i="16"/>
  <c r="Q53" i="16" s="1"/>
  <c r="O41" i="16"/>
  <c r="O53" i="16" s="1"/>
  <c r="O55" i="16"/>
  <c r="N55" i="16"/>
  <c r="Q54" i="16" l="1"/>
  <c r="Q61" i="16" s="1"/>
  <c r="Q64" i="16" s="1"/>
  <c r="L59" i="18"/>
  <c r="L60" i="18" s="1"/>
  <c r="K53" i="18"/>
  <c r="N62" i="18"/>
  <c r="Q55" i="18"/>
  <c r="Q114" i="18" s="1"/>
  <c r="Q60" i="18"/>
  <c r="R59" i="18" s="1"/>
  <c r="R60" i="18" s="1"/>
  <c r="R53" i="18"/>
  <c r="Q52" i="17"/>
  <c r="Q110" i="17"/>
  <c r="K52" i="17"/>
  <c r="N52" i="17"/>
  <c r="N61" i="16"/>
  <c r="K61" i="16"/>
  <c r="R52" i="16"/>
  <c r="L53" i="16"/>
  <c r="R54" i="18" l="1"/>
  <c r="N65" i="18"/>
  <c r="N75" i="18"/>
  <c r="L54" i="18"/>
  <c r="K62" i="18"/>
  <c r="Q62" i="18"/>
  <c r="Q79" i="18" s="1"/>
  <c r="N61" i="17"/>
  <c r="L52" i="17"/>
  <c r="K61" i="17"/>
  <c r="K81" i="17" s="1"/>
  <c r="R52" i="17"/>
  <c r="Q61" i="17"/>
  <c r="Q81" i="16"/>
  <c r="K64" i="16"/>
  <c r="K81" i="16"/>
  <c r="N64" i="16"/>
  <c r="N74" i="16"/>
  <c r="N90" i="16" s="1"/>
  <c r="L56" i="16"/>
  <c r="L52" i="16"/>
  <c r="R57" i="16"/>
  <c r="R53" i="16"/>
  <c r="Q65" i="18" l="1"/>
  <c r="Q81" i="17"/>
  <c r="Q89" i="16"/>
  <c r="N77" i="18"/>
  <c r="N76" i="18"/>
  <c r="N92" i="18" s="1"/>
  <c r="O75" i="18"/>
  <c r="N78" i="18"/>
  <c r="N94" i="18" s="1"/>
  <c r="N83" i="18"/>
  <c r="N100" i="18" s="1"/>
  <c r="K65" i="18"/>
  <c r="L53" i="18"/>
  <c r="K64" i="17"/>
  <c r="L53" i="17"/>
  <c r="Q64" i="17"/>
  <c r="N74" i="17"/>
  <c r="N64" i="17"/>
  <c r="R53" i="17"/>
  <c r="N77" i="16"/>
  <c r="N75" i="16"/>
  <c r="N76" i="16"/>
  <c r="N92" i="16" s="1"/>
  <c r="O74" i="16"/>
  <c r="N82" i="16"/>
  <c r="N99" i="16" s="1"/>
  <c r="K89" i="16"/>
  <c r="K106" i="16" s="1"/>
  <c r="K118" i="16" l="1"/>
  <c r="Q106" i="16"/>
  <c r="Q118" i="16" s="1"/>
  <c r="Q89" i="17"/>
  <c r="Q106" i="17" s="1"/>
  <c r="Q118" i="17" s="1"/>
  <c r="N112" i="18"/>
  <c r="L58" i="18"/>
  <c r="N104" i="18"/>
  <c r="N105" i="18"/>
  <c r="N86" i="18"/>
  <c r="N103" i="18" s="1"/>
  <c r="N115" i="18" s="1"/>
  <c r="O77" i="18"/>
  <c r="O78" i="18"/>
  <c r="O76" i="18"/>
  <c r="O83" i="18"/>
  <c r="O100" i="18" s="1"/>
  <c r="N84" i="18"/>
  <c r="N101" i="18" s="1"/>
  <c r="N85" i="18"/>
  <c r="N102" i="18" s="1"/>
  <c r="N114" i="18" s="1"/>
  <c r="R56" i="17"/>
  <c r="L56" i="17"/>
  <c r="N76" i="17"/>
  <c r="O74" i="17"/>
  <c r="N77" i="17"/>
  <c r="N93" i="17" s="1"/>
  <c r="N75" i="17"/>
  <c r="N91" i="17" s="1"/>
  <c r="N82" i="17"/>
  <c r="K89" i="17"/>
  <c r="K106" i="17" s="1"/>
  <c r="N111" i="16"/>
  <c r="N83" i="16"/>
  <c r="N100" i="16" s="1"/>
  <c r="N84" i="16"/>
  <c r="N101" i="16" s="1"/>
  <c r="N113" i="16" s="1"/>
  <c r="N85" i="16"/>
  <c r="N102" i="16" s="1"/>
  <c r="O75" i="16"/>
  <c r="O76" i="16"/>
  <c r="O77" i="16"/>
  <c r="O82" i="16"/>
  <c r="O99" i="16" s="1"/>
  <c r="O84" i="16" l="1"/>
  <c r="O101" i="16" s="1"/>
  <c r="O113" i="16" s="1"/>
  <c r="N99" i="17"/>
  <c r="N111" i="17" s="1"/>
  <c r="K118" i="17"/>
  <c r="O86" i="18"/>
  <c r="O103" i="18" s="1"/>
  <c r="O115" i="18" s="1"/>
  <c r="N113" i="18"/>
  <c r="O84" i="18"/>
  <c r="O101" i="18" s="1"/>
  <c r="O112" i="18"/>
  <c r="O85" i="18"/>
  <c r="O102" i="18" s="1"/>
  <c r="N103" i="17"/>
  <c r="N104" i="17"/>
  <c r="N85" i="17"/>
  <c r="N102" i="17" s="1"/>
  <c r="N114" i="17" s="1"/>
  <c r="O76" i="17"/>
  <c r="O77" i="17"/>
  <c r="O75" i="17"/>
  <c r="O82" i="17"/>
  <c r="O99" i="17" s="1"/>
  <c r="N106" i="17"/>
  <c r="N105" i="17"/>
  <c r="N84" i="17"/>
  <c r="N101" i="17" s="1"/>
  <c r="N83" i="17"/>
  <c r="N100" i="17" s="1"/>
  <c r="S14" i="16"/>
  <c r="S16" i="16" s="1"/>
  <c r="S18" i="16" s="1"/>
  <c r="N114" i="16"/>
  <c r="N112" i="16"/>
  <c r="O111" i="16"/>
  <c r="O85" i="16"/>
  <c r="O102" i="16" s="1"/>
  <c r="O83" i="16"/>
  <c r="O100" i="16" s="1"/>
  <c r="O113" i="18" l="1"/>
  <c r="V21" i="18" s="1"/>
  <c r="N109" i="18"/>
  <c r="P14" i="18"/>
  <c r="P17" i="18" s="1"/>
  <c r="P19" i="18" s="1"/>
  <c r="O114" i="18"/>
  <c r="O111" i="17"/>
  <c r="N112" i="17"/>
  <c r="O83" i="17"/>
  <c r="O100" i="17" s="1"/>
  <c r="O112" i="17" s="1"/>
  <c r="V20" i="17" s="1"/>
  <c r="O85" i="17"/>
  <c r="O102" i="17" s="1"/>
  <c r="N113" i="17"/>
  <c r="M14" i="17"/>
  <c r="M16" i="17" s="1"/>
  <c r="M18" i="17" s="1"/>
  <c r="O84" i="17"/>
  <c r="O101" i="17" s="1"/>
  <c r="O112" i="16"/>
  <c r="V20" i="16" s="1"/>
  <c r="K14" i="16"/>
  <c r="N108" i="16"/>
  <c r="O114" i="16"/>
  <c r="Q74" i="17" l="1"/>
  <c r="O113" i="17"/>
  <c r="O114" i="17"/>
  <c r="N108" i="17"/>
  <c r="K16" i="16"/>
  <c r="Q75" i="17" l="1"/>
  <c r="Q77" i="17" s="1"/>
  <c r="Q85" i="17" s="1"/>
  <c r="Q102" i="17" s="1"/>
  <c r="Q78" i="17"/>
  <c r="K18" i="16"/>
  <c r="Q86" i="17" l="1"/>
  <c r="Q103" i="17" s="1"/>
  <c r="Q80" i="17"/>
  <c r="Q88" i="17" s="1"/>
  <c r="Q105" i="17" s="1"/>
  <c r="Q117" i="17" s="1"/>
  <c r="F9" i="14"/>
  <c r="Q115" i="17" l="1"/>
  <c r="N14" i="17"/>
  <c r="N16" i="17" s="1"/>
  <c r="N18" i="17" s="1"/>
  <c r="D6" i="13"/>
  <c r="K18" i="13" s="1"/>
  <c r="F9" i="13"/>
  <c r="D9" i="13"/>
  <c r="E9" i="13"/>
  <c r="D5" i="13"/>
  <c r="J9" i="13" l="1"/>
  <c r="M9" i="13" s="1"/>
  <c r="I9" i="13"/>
  <c r="L9" i="13"/>
  <c r="G9" i="13"/>
  <c r="O9" i="13" l="1"/>
  <c r="H5" i="12"/>
  <c r="H4" i="12"/>
  <c r="Q12" i="12"/>
  <c r="P12" i="12"/>
  <c r="O12" i="12"/>
  <c r="N12" i="12"/>
  <c r="Q11" i="12"/>
  <c r="P11" i="12"/>
  <c r="O11" i="12"/>
  <c r="N11" i="12"/>
  <c r="E17" i="11" l="1"/>
  <c r="N11" i="11" s="1"/>
  <c r="E15" i="11"/>
  <c r="E14" i="11"/>
  <c r="P26" i="11" s="1"/>
  <c r="E13" i="11"/>
  <c r="E12" i="11"/>
  <c r="E11" i="11"/>
  <c r="E35" i="11" s="1"/>
  <c r="E10" i="11"/>
  <c r="E7" i="11"/>
  <c r="E9" i="11"/>
  <c r="E8" i="11"/>
  <c r="E6" i="11"/>
  <c r="O9" i="11" s="1"/>
  <c r="E5" i="11"/>
  <c r="N62" i="11"/>
  <c r="O61" i="11"/>
  <c r="O62" i="11" s="1"/>
  <c r="O60" i="11"/>
  <c r="N60" i="11"/>
  <c r="U9" i="11" l="1"/>
  <c r="M33" i="11"/>
  <c r="R36" i="11"/>
  <c r="M35" i="11"/>
  <c r="M34" i="11"/>
  <c r="S11" i="11"/>
  <c r="S12" i="11" s="1"/>
  <c r="S13" i="11" s="1"/>
  <c r="O42" i="11" s="1"/>
  <c r="O50" i="11" s="1"/>
  <c r="M11" i="11"/>
  <c r="M12" i="11" s="1"/>
  <c r="M13" i="11" s="1"/>
  <c r="N42" i="11" s="1"/>
  <c r="N50" i="11" s="1"/>
  <c r="N12" i="11"/>
  <c r="N13" i="11" s="1"/>
  <c r="N45" i="11" s="1"/>
  <c r="N53" i="11" s="1"/>
  <c r="V11" i="11"/>
  <c r="V12" i="11" s="1"/>
  <c r="V13" i="11" s="1"/>
  <c r="O44" i="11" s="1"/>
  <c r="O52" i="11" s="1"/>
  <c r="P11" i="11"/>
  <c r="P12" i="11" s="1"/>
  <c r="P13" i="11" s="1"/>
  <c r="N44" i="11" s="1"/>
  <c r="N52" i="11" s="1"/>
  <c r="Q11" i="11"/>
  <c r="Q12" i="11" s="1"/>
  <c r="Q13" i="11" s="1"/>
  <c r="Q38" i="11" s="1"/>
  <c r="U11" i="11"/>
  <c r="U12" i="11" s="1"/>
  <c r="U13" i="11" s="1"/>
  <c r="O11" i="11"/>
  <c r="O12" i="11" s="1"/>
  <c r="O13" i="11" s="1"/>
  <c r="R11" i="11"/>
  <c r="R12" i="11" s="1"/>
  <c r="R13" i="11" s="1"/>
  <c r="L11" i="11"/>
  <c r="L12" i="11" s="1"/>
  <c r="L13" i="11" s="1"/>
  <c r="K11" i="11"/>
  <c r="K12" i="11" s="1"/>
  <c r="K13" i="11" s="1"/>
  <c r="K38" i="11" s="1"/>
  <c r="T11" i="11"/>
  <c r="T12" i="11" s="1"/>
  <c r="T13" i="11" s="1"/>
  <c r="O45" i="11" s="1"/>
  <c r="O53" i="11" s="1"/>
  <c r="Q15" i="11"/>
  <c r="K15" i="11"/>
  <c r="R9" i="11"/>
  <c r="L9" i="11"/>
  <c r="M31" i="11" l="1"/>
  <c r="M32" i="11"/>
  <c r="P32" i="11"/>
  <c r="P31" i="11"/>
  <c r="P35" i="11"/>
  <c r="P34" i="11"/>
  <c r="P33" i="11"/>
  <c r="L36" i="11"/>
  <c r="N41" i="11"/>
  <c r="N49" i="11" s="1"/>
  <c r="O41" i="11"/>
  <c r="O49" i="11" s="1"/>
  <c r="O43" i="11"/>
  <c r="O51" i="11" s="1"/>
  <c r="Q39" i="11"/>
  <c r="Q40" i="11" s="1"/>
  <c r="Q72" i="11" s="1"/>
  <c r="Q85" i="11" s="1"/>
  <c r="N43" i="11"/>
  <c r="O40" i="11" s="1"/>
  <c r="K39" i="11"/>
  <c r="K40" i="11" s="1"/>
  <c r="N40" i="11" l="1"/>
  <c r="N51" i="11"/>
  <c r="N55" i="11" s="1"/>
  <c r="K72" i="11"/>
  <c r="K85" i="11" s="1"/>
  <c r="M14" i="11"/>
  <c r="M16" i="11" s="1"/>
  <c r="M18" i="11" s="1"/>
  <c r="Q94" i="11"/>
  <c r="Q86" i="11"/>
  <c r="N63" i="11" l="1"/>
  <c r="N57" i="11"/>
  <c r="N65" i="11"/>
  <c r="K94" i="11"/>
  <c r="V21" i="11" s="1"/>
  <c r="K86" i="11"/>
  <c r="N73" i="11" l="1"/>
  <c r="O67" i="11"/>
  <c r="N64" i="11"/>
  <c r="N74" i="11" s="1"/>
  <c r="O64" i="11"/>
  <c r="O74" i="11" s="1"/>
  <c r="O73" i="11"/>
  <c r="N69" i="11"/>
  <c r="N82" i="11" s="1"/>
  <c r="N70" i="11"/>
  <c r="O65" i="11"/>
  <c r="N66" i="11"/>
  <c r="N67" i="11"/>
  <c r="O68" i="11" l="1"/>
  <c r="N80" i="11"/>
  <c r="N89" i="11" s="1"/>
  <c r="N68" i="11"/>
  <c r="N81" i="11" s="1"/>
  <c r="N90" i="11" s="1"/>
  <c r="O80" i="11"/>
  <c r="R14" i="11" s="1"/>
  <c r="R16" i="11" s="1"/>
  <c r="R18" i="11" s="1"/>
  <c r="O81" i="11"/>
  <c r="S14" i="11" s="1"/>
  <c r="S16" i="11" s="1"/>
  <c r="S18" i="11" s="1"/>
  <c r="O14" i="11"/>
  <c r="O16" i="11" s="1"/>
  <c r="O18" i="11" s="1"/>
  <c r="O66" i="11"/>
  <c r="O70" i="11"/>
  <c r="P14" i="11"/>
  <c r="P16" i="11" s="1"/>
  <c r="P18" i="11" s="1"/>
  <c r="N92" i="11"/>
  <c r="N71" i="11"/>
  <c r="N91" i="11"/>
  <c r="O69" i="11"/>
  <c r="Q14" i="11" l="1"/>
  <c r="Q16" i="11" s="1"/>
  <c r="Q18" i="11" s="1"/>
  <c r="O89" i="11"/>
  <c r="O90" i="11"/>
  <c r="N84" i="11"/>
  <c r="N14" i="11" s="1"/>
  <c r="N16" i="11" s="1"/>
  <c r="O71" i="11"/>
  <c r="O84" i="11" s="1"/>
  <c r="T14" i="11" s="1"/>
  <c r="T16" i="11" s="1"/>
  <c r="T18" i="11" s="1"/>
  <c r="O82" i="11"/>
  <c r="O91" i="11" s="1"/>
  <c r="L14" i="11"/>
  <c r="L16" i="11" s="1"/>
  <c r="L18" i="11" s="1"/>
  <c r="V14" i="11"/>
  <c r="V16" i="11" s="1"/>
  <c r="V18" i="11" s="1"/>
  <c r="O92" i="11"/>
  <c r="R17" i="11" l="1"/>
  <c r="N85" i="11"/>
  <c r="N18" i="11"/>
  <c r="O17" i="11"/>
  <c r="K14" i="11"/>
  <c r="U14" i="11"/>
  <c r="U16" i="11" s="1"/>
  <c r="U18" i="11" s="1"/>
  <c r="V20" i="11"/>
  <c r="N93" i="11"/>
  <c r="O93" i="11"/>
  <c r="O85" i="11"/>
  <c r="G29" i="14"/>
  <c r="K1" i="10"/>
  <c r="U17" i="11" l="1"/>
  <c r="N86" i="11"/>
  <c r="K16" i="11"/>
  <c r="N19" i="11"/>
  <c r="O19" i="11" s="1"/>
  <c r="K30" i="10"/>
  <c r="D29" i="10"/>
  <c r="E29" i="10"/>
  <c r="F29" i="10"/>
  <c r="G29" i="10"/>
  <c r="H29" i="10"/>
  <c r="I7" i="10"/>
  <c r="I29" i="10" s="1"/>
  <c r="J7" i="10"/>
  <c r="J29" i="10" s="1"/>
  <c r="K7" i="10"/>
  <c r="K29" i="10" s="1"/>
  <c r="L7" i="10"/>
  <c r="L29" i="10" s="1"/>
  <c r="M7" i="10"/>
  <c r="M29" i="10" s="1"/>
  <c r="N7" i="10"/>
  <c r="N29" i="10" s="1"/>
  <c r="C29" i="10"/>
  <c r="E48" i="10"/>
  <c r="E47" i="10"/>
  <c r="N34" i="10"/>
  <c r="M34" i="10"/>
  <c r="L34" i="10"/>
  <c r="K34" i="10"/>
  <c r="J34" i="10"/>
  <c r="I34" i="10"/>
  <c r="H34" i="10"/>
  <c r="G34" i="10"/>
  <c r="F34" i="10"/>
  <c r="D34" i="10"/>
  <c r="C34" i="10"/>
  <c r="L18" i="10"/>
  <c r="I18" i="10"/>
  <c r="F18" i="10"/>
  <c r="C18" i="10"/>
  <c r="H29" i="14" l="1"/>
  <c r="K18" i="11"/>
  <c r="L17" i="11"/>
  <c r="U19" i="11"/>
  <c r="V19" i="11" s="1"/>
  <c r="L30" i="10"/>
  <c r="M30" i="10"/>
  <c r="C30" i="10"/>
  <c r="F30" i="10"/>
  <c r="G30" i="10"/>
  <c r="H30" i="10"/>
  <c r="N30" i="10"/>
  <c r="I30" i="10"/>
  <c r="D30" i="10"/>
  <c r="J30" i="10"/>
  <c r="E30" i="10"/>
  <c r="E6" i="9"/>
  <c r="E5" i="9"/>
  <c r="N11" i="9" l="1"/>
  <c r="N12" i="9" s="1"/>
  <c r="N13" i="9" s="1"/>
  <c r="G11" i="9"/>
  <c r="G12" i="9" s="1"/>
  <c r="G13" i="9" s="1"/>
  <c r="M11" i="9"/>
  <c r="M12" i="9" s="1"/>
  <c r="M13" i="9" s="1"/>
  <c r="I11" i="9"/>
  <c r="I12" i="9" s="1"/>
  <c r="I13" i="9" s="1"/>
  <c r="O11" i="9"/>
  <c r="O12" i="9" s="1"/>
  <c r="O13" i="9" s="1"/>
  <c r="J11" i="9"/>
  <c r="J12" i="9" s="1"/>
  <c r="J13" i="9" s="1"/>
  <c r="P11" i="9"/>
  <c r="P12" i="9" s="1"/>
  <c r="P13" i="9" s="1"/>
  <c r="E11" i="9"/>
  <c r="E12" i="9" s="1"/>
  <c r="E13" i="9" s="1"/>
  <c r="K11" i="9"/>
  <c r="K12" i="9" s="1"/>
  <c r="K13" i="9" s="1"/>
  <c r="F11" i="9"/>
  <c r="F12" i="9" s="1"/>
  <c r="F13" i="9" s="1"/>
  <c r="L11" i="9"/>
  <c r="L12" i="9" s="1"/>
  <c r="L13" i="9" s="1"/>
  <c r="H11" i="9"/>
  <c r="H12" i="9" s="1"/>
  <c r="H13" i="9" s="1"/>
  <c r="V10" i="7"/>
  <c r="U10" i="7"/>
  <c r="T10" i="7"/>
  <c r="S10" i="7"/>
  <c r="R10" i="7"/>
  <c r="Q10" i="7"/>
  <c r="P10" i="7"/>
  <c r="O10" i="7"/>
  <c r="N10" i="7"/>
  <c r="M10" i="7"/>
  <c r="L10" i="7"/>
  <c r="K10" i="7"/>
  <c r="E17" i="7"/>
  <c r="E15" i="7"/>
  <c r="E14" i="7"/>
  <c r="E13" i="7"/>
  <c r="E12" i="7"/>
  <c r="E10" i="7"/>
  <c r="E9" i="7"/>
  <c r="E8" i="7"/>
  <c r="E7" i="7"/>
  <c r="E6" i="7"/>
  <c r="E5" i="7"/>
  <c r="D8" i="1"/>
  <c r="V10" i="6"/>
  <c r="U10" i="6"/>
  <c r="T10" i="6"/>
  <c r="S10" i="6"/>
  <c r="R10" i="6"/>
  <c r="Q10" i="6"/>
  <c r="P10" i="6"/>
  <c r="O10" i="6"/>
  <c r="N10" i="6"/>
  <c r="M10" i="6"/>
  <c r="L10" i="6"/>
  <c r="K10" i="6"/>
  <c r="E6" i="6"/>
  <c r="L9" i="6" s="1"/>
  <c r="E16" i="6"/>
  <c r="E14" i="6"/>
  <c r="E13" i="6"/>
  <c r="E12" i="6"/>
  <c r="E11" i="6"/>
  <c r="E9" i="6"/>
  <c r="E8" i="6"/>
  <c r="E7" i="6"/>
  <c r="E5" i="6"/>
  <c r="U10" i="8"/>
  <c r="T10" i="8"/>
  <c r="S10" i="8"/>
  <c r="R10" i="8"/>
  <c r="Q10" i="8"/>
  <c r="P10" i="8"/>
  <c r="O10" i="8"/>
  <c r="N10" i="8"/>
  <c r="M10" i="8"/>
  <c r="L10" i="8"/>
  <c r="K10" i="8"/>
  <c r="J10" i="8"/>
  <c r="D5" i="8"/>
  <c r="D20" i="8"/>
  <c r="D18" i="8"/>
  <c r="D17" i="8"/>
  <c r="O27" i="8" s="1"/>
  <c r="D16" i="8"/>
  <c r="D15" i="8"/>
  <c r="D14" i="8"/>
  <c r="J54" i="8" s="1"/>
  <c r="P54" i="8" s="1"/>
  <c r="D13" i="8"/>
  <c r="D12" i="8"/>
  <c r="D9" i="8"/>
  <c r="D8" i="8"/>
  <c r="D7" i="8"/>
  <c r="D6" i="8"/>
  <c r="Q9" i="8" s="1"/>
  <c r="P30" i="8" s="1"/>
  <c r="P71" i="8"/>
  <c r="J71" i="8"/>
  <c r="M53" i="8"/>
  <c r="M52" i="8"/>
  <c r="L31" i="6" l="1"/>
  <c r="M31" i="6" s="1"/>
  <c r="L33" i="6"/>
  <c r="M33" i="6" s="1"/>
  <c r="E16" i="9"/>
  <c r="F16" i="9"/>
  <c r="H16" i="9"/>
  <c r="G16" i="9"/>
  <c r="P81" i="8"/>
  <c r="N34" i="8"/>
  <c r="K41" i="8"/>
  <c r="N32" i="8"/>
  <c r="Q32" i="8"/>
  <c r="P11" i="6"/>
  <c r="P15" i="8"/>
  <c r="L11" i="7"/>
  <c r="L11" i="8"/>
  <c r="L12" i="8" s="1"/>
  <c r="L13" i="8" s="1"/>
  <c r="R11" i="8"/>
  <c r="R12" i="8" s="1"/>
  <c r="R13" i="8" s="1"/>
  <c r="M11" i="8"/>
  <c r="M12" i="8" s="1"/>
  <c r="M13" i="8" s="1"/>
  <c r="G17" i="9"/>
  <c r="G19" i="9" s="1"/>
  <c r="H17" i="9"/>
  <c r="H19" i="9" s="1"/>
  <c r="F17" i="9"/>
  <c r="F19" i="9" s="1"/>
  <c r="E17" i="9"/>
  <c r="E19" i="9" s="1"/>
  <c r="M11" i="6"/>
  <c r="V11" i="6"/>
  <c r="K11" i="6"/>
  <c r="Q11" i="6"/>
  <c r="L11" i="6"/>
  <c r="R11" i="6"/>
  <c r="K11" i="7"/>
  <c r="Q11" i="7"/>
  <c r="U11" i="7"/>
  <c r="M11" i="7"/>
  <c r="S11" i="6"/>
  <c r="R11" i="7"/>
  <c r="N11" i="7"/>
  <c r="T11" i="7"/>
  <c r="S11" i="8"/>
  <c r="S12" i="8" s="1"/>
  <c r="S13" i="8" s="1"/>
  <c r="N11" i="6"/>
  <c r="T11" i="6"/>
  <c r="O11" i="7"/>
  <c r="N11" i="8"/>
  <c r="N12" i="8" s="1"/>
  <c r="N13" i="8" s="1"/>
  <c r="T11" i="8"/>
  <c r="T12" i="8" s="1"/>
  <c r="T13" i="8" s="1"/>
  <c r="O11" i="6"/>
  <c r="U11" i="6"/>
  <c r="P11" i="7"/>
  <c r="V11" i="7"/>
  <c r="S11" i="7"/>
  <c r="Q11" i="8"/>
  <c r="Q12" i="8" s="1"/>
  <c r="Q13" i="8" s="1"/>
  <c r="O11" i="8"/>
  <c r="O12" i="8" s="1"/>
  <c r="O13" i="8" s="1"/>
  <c r="M48" i="8" s="1"/>
  <c r="U11" i="8"/>
  <c r="U12" i="8" s="1"/>
  <c r="U13" i="8" s="1"/>
  <c r="M49" i="8" s="1"/>
  <c r="M62" i="8" s="1"/>
  <c r="P11" i="8"/>
  <c r="P12" i="8" s="1"/>
  <c r="P13" i="8" s="1"/>
  <c r="K11" i="8"/>
  <c r="K12" i="8" s="1"/>
  <c r="K13" i="8" s="1"/>
  <c r="J11" i="8"/>
  <c r="J12" i="8" s="1"/>
  <c r="J13" i="8" s="1"/>
  <c r="N9" i="8"/>
  <c r="J30" i="8"/>
  <c r="K9" i="8"/>
  <c r="K82" i="8" s="1"/>
  <c r="J15" i="8"/>
  <c r="K83" i="8"/>
  <c r="K87" i="8"/>
  <c r="J81" i="8" l="1"/>
  <c r="N33" i="8"/>
  <c r="K31" i="8"/>
  <c r="N31" i="8"/>
  <c r="Q41" i="8"/>
  <c r="T9" i="8"/>
  <c r="K89" i="8" s="1"/>
  <c r="M30" i="8"/>
  <c r="G18" i="9"/>
  <c r="G20" i="9" s="1"/>
  <c r="G21" i="9" s="1"/>
  <c r="G22" i="9" s="1"/>
  <c r="G23" i="9" s="1"/>
  <c r="E18" i="9"/>
  <c r="F18" i="9"/>
  <c r="F20" i="9" s="1"/>
  <c r="F21" i="9" s="1"/>
  <c r="H18" i="9"/>
  <c r="H20" i="9" s="1"/>
  <c r="H21" i="9" s="1"/>
  <c r="H22" i="9" s="1"/>
  <c r="H23" i="9" s="1"/>
  <c r="M46" i="8"/>
  <c r="M59" i="8" s="1"/>
  <c r="M61" i="8"/>
  <c r="M47" i="8"/>
  <c r="M45" i="8"/>
  <c r="M58" i="8" s="1"/>
  <c r="M44" i="8"/>
  <c r="M57" i="8" s="1"/>
  <c r="P50" i="8"/>
  <c r="P63" i="8" s="1"/>
  <c r="M42" i="8"/>
  <c r="P43" i="8"/>
  <c r="K84" i="8"/>
  <c r="K88" i="8"/>
  <c r="J42" i="8"/>
  <c r="J55" i="8" s="1"/>
  <c r="K86" i="8"/>
  <c r="M43" i="8"/>
  <c r="M56" i="8" s="1"/>
  <c r="J50" i="8"/>
  <c r="J63" i="8" s="1"/>
  <c r="E20" i="9" l="1"/>
  <c r="E21" i="9" s="1"/>
  <c r="E22" i="9" s="1"/>
  <c r="E23" i="9" s="1"/>
  <c r="K85" i="8"/>
  <c r="N37" i="8"/>
  <c r="N38" i="8" s="1"/>
  <c r="N35" i="8"/>
  <c r="N36" i="8" s="1"/>
  <c r="N39" i="8"/>
  <c r="N40" i="8" s="1"/>
  <c r="P56" i="8"/>
  <c r="P64" i="8" s="1"/>
  <c r="P51" i="8"/>
  <c r="Q51" i="8" s="1"/>
  <c r="F22" i="9"/>
  <c r="F23" i="9" s="1"/>
  <c r="J74" i="8"/>
  <c r="J78" i="8" s="1"/>
  <c r="M55" i="8"/>
  <c r="J51" i="8"/>
  <c r="K51" i="8" s="1"/>
  <c r="J64" i="8"/>
  <c r="J66" i="8"/>
  <c r="J67" i="8" s="1"/>
  <c r="M21" i="9" l="1"/>
  <c r="G16" i="14" s="1"/>
  <c r="P74" i="8"/>
  <c r="P78" i="8" s="1"/>
  <c r="P66" i="8"/>
  <c r="P67" i="8" s="1"/>
  <c r="E24" i="9"/>
  <c r="H16" i="14" s="1"/>
  <c r="J82" i="8"/>
  <c r="J91" i="8" s="1"/>
  <c r="J101" i="8" s="1"/>
  <c r="J75" i="8"/>
  <c r="P83" i="8" l="1"/>
  <c r="P92" i="8" s="1"/>
  <c r="P75" i="8"/>
  <c r="F25" i="9"/>
  <c r="J90" i="8"/>
  <c r="J99" i="8" s="1"/>
  <c r="J109" i="8" s="1"/>
  <c r="J110" i="8" s="1"/>
  <c r="P102" i="8" l="1"/>
  <c r="J100" i="8"/>
  <c r="P90" i="8"/>
  <c r="P99" i="8" l="1"/>
  <c r="P109" i="8" s="1"/>
  <c r="P110" i="8" s="1"/>
  <c r="U22" i="8" s="1"/>
  <c r="D18" i="5"/>
  <c r="P100" i="8" l="1"/>
  <c r="N70" i="5"/>
  <c r="N69" i="5" s="1"/>
  <c r="N68" i="5"/>
  <c r="V8" i="5"/>
  <c r="U8" i="5"/>
  <c r="T8" i="5"/>
  <c r="S8" i="5"/>
  <c r="R8" i="5"/>
  <c r="Q8" i="5"/>
  <c r="P8" i="5"/>
  <c r="O8" i="5"/>
  <c r="N8" i="5"/>
  <c r="M8" i="5"/>
  <c r="L8" i="5"/>
  <c r="K8" i="5"/>
  <c r="D20" i="5"/>
  <c r="D17" i="5"/>
  <c r="D16" i="5"/>
  <c r="D15" i="5"/>
  <c r="D12" i="5"/>
  <c r="D11" i="5"/>
  <c r="D10" i="5"/>
  <c r="D9" i="5"/>
  <c r="D8" i="5"/>
  <c r="D7" i="5"/>
  <c r="D6" i="5"/>
  <c r="D5" i="5"/>
  <c r="D16" i="4"/>
  <c r="V7" i="4"/>
  <c r="U7" i="4"/>
  <c r="T7" i="4"/>
  <c r="S7" i="4"/>
  <c r="Q7" i="4"/>
  <c r="P7" i="4"/>
  <c r="O7" i="4"/>
  <c r="N7" i="4"/>
  <c r="M7" i="4"/>
  <c r="K7" i="4"/>
  <c r="D14" i="4"/>
  <c r="D13" i="4"/>
  <c r="D12" i="4"/>
  <c r="D11" i="4"/>
  <c r="D10" i="4"/>
  <c r="D9" i="4"/>
  <c r="D8" i="4"/>
  <c r="D6" i="4"/>
  <c r="D5" i="4"/>
  <c r="D7" i="4"/>
  <c r="D5" i="3"/>
  <c r="V10" i="3"/>
  <c r="U10" i="3"/>
  <c r="T10" i="3"/>
  <c r="S10" i="3"/>
  <c r="R10" i="3"/>
  <c r="Q10" i="3"/>
  <c r="P10" i="3"/>
  <c r="O10" i="3"/>
  <c r="N10" i="3"/>
  <c r="M10" i="3"/>
  <c r="L10" i="3"/>
  <c r="K10" i="3"/>
  <c r="D20" i="3"/>
  <c r="D18" i="3"/>
  <c r="D17" i="3"/>
  <c r="D16" i="3"/>
  <c r="D15" i="3"/>
  <c r="D14" i="3"/>
  <c r="D13" i="3"/>
  <c r="D12" i="3"/>
  <c r="D9" i="3"/>
  <c r="D8" i="3"/>
  <c r="D7" i="3"/>
  <c r="D6" i="3"/>
  <c r="V9" i="1"/>
  <c r="U9" i="1"/>
  <c r="T9" i="1"/>
  <c r="S9" i="1"/>
  <c r="R9" i="1"/>
  <c r="Q9" i="1"/>
  <c r="P9" i="1"/>
  <c r="O9" i="1"/>
  <c r="N9" i="1"/>
  <c r="W9" i="1"/>
  <c r="M9" i="1"/>
  <c r="L9" i="1"/>
  <c r="K9" i="1"/>
  <c r="D5" i="1"/>
  <c r="D20" i="1"/>
  <c r="D18" i="1"/>
  <c r="D17" i="1"/>
  <c r="D16" i="1"/>
  <c r="D15" i="1"/>
  <c r="D11" i="1"/>
  <c r="D10" i="1"/>
  <c r="D9" i="1"/>
  <c r="D7" i="1"/>
  <c r="D6" i="1"/>
  <c r="U8" i="1" s="1"/>
  <c r="D8" i="21"/>
  <c r="P9" i="5" l="1"/>
  <c r="K78" i="17"/>
  <c r="K75" i="17"/>
  <c r="K74" i="17" s="1"/>
  <c r="K90" i="17" s="1"/>
  <c r="L11" i="4"/>
  <c r="R11" i="4" s="1"/>
  <c r="O36" i="4"/>
  <c r="L36" i="4" s="1"/>
  <c r="O37" i="4"/>
  <c r="L37" i="4" s="1"/>
  <c r="D17" i="21"/>
  <c r="D9" i="21"/>
  <c r="E9" i="21"/>
  <c r="F9" i="21"/>
  <c r="E8" i="9"/>
  <c r="E15" i="9" s="1"/>
  <c r="M8" i="21"/>
  <c r="G8" i="21"/>
  <c r="J8" i="21"/>
  <c r="O10" i="1"/>
  <c r="M11" i="3"/>
  <c r="S10" i="1"/>
  <c r="K11" i="3"/>
  <c r="L11" i="3"/>
  <c r="N11" i="3"/>
  <c r="T11" i="3"/>
  <c r="T12" i="4"/>
  <c r="V11" i="3"/>
  <c r="Q11" i="3"/>
  <c r="P11" i="3"/>
  <c r="R11" i="3"/>
  <c r="S11" i="3"/>
  <c r="U9" i="5"/>
  <c r="O9" i="5"/>
  <c r="N9" i="5"/>
  <c r="S9" i="5"/>
  <c r="L9" i="5"/>
  <c r="K9" i="5"/>
  <c r="Q9" i="5"/>
  <c r="T9" i="5"/>
  <c r="M9" i="5"/>
  <c r="R9" i="5"/>
  <c r="V9" i="5"/>
  <c r="M12" i="4"/>
  <c r="S12" i="4"/>
  <c r="O12" i="4"/>
  <c r="V12" i="4"/>
  <c r="U12" i="4"/>
  <c r="Q12" i="4"/>
  <c r="P12" i="4"/>
  <c r="K12" i="4"/>
  <c r="N12" i="4"/>
  <c r="O11" i="3"/>
  <c r="U11" i="3"/>
  <c r="Q10" i="1"/>
  <c r="L10" i="1"/>
  <c r="V10" i="1"/>
  <c r="N10" i="1"/>
  <c r="K10" i="1"/>
  <c r="M10" i="1"/>
  <c r="T10" i="1"/>
  <c r="U10" i="1"/>
  <c r="P10" i="1"/>
  <c r="R10" i="1"/>
  <c r="O100" i="7"/>
  <c r="N100" i="7"/>
  <c r="Q96" i="7"/>
  <c r="V14" i="7"/>
  <c r="V16" i="7" s="1"/>
  <c r="V18" i="7" s="1"/>
  <c r="P14" i="7"/>
  <c r="P16" i="7" s="1"/>
  <c r="P18" i="7" s="1"/>
  <c r="Q86" i="7"/>
  <c r="N66" i="7"/>
  <c r="O65" i="7"/>
  <c r="O66" i="7" s="1"/>
  <c r="Q58" i="7"/>
  <c r="K58" i="7"/>
  <c r="O56" i="7"/>
  <c r="N56" i="7"/>
  <c r="P26" i="7"/>
  <c r="K15" i="7"/>
  <c r="Q15" i="7" s="1"/>
  <c r="V12" i="7"/>
  <c r="V13" i="7" s="1"/>
  <c r="O48" i="7" s="1"/>
  <c r="R9" i="7"/>
  <c r="O9" i="7"/>
  <c r="L9" i="7"/>
  <c r="K80" i="17" l="1"/>
  <c r="K88" i="17" s="1"/>
  <c r="K105" i="17" s="1"/>
  <c r="K82" i="17"/>
  <c r="K99" i="17" s="1"/>
  <c r="V14" i="17" s="1"/>
  <c r="V16" i="17" s="1"/>
  <c r="V18" i="17" s="1"/>
  <c r="K77" i="17"/>
  <c r="K85" i="17" s="1"/>
  <c r="K102" i="17" s="1"/>
  <c r="Q14" i="17" s="1"/>
  <c r="Q16" i="17" s="1"/>
  <c r="Q18" i="17" s="1"/>
  <c r="K83" i="17"/>
  <c r="K100" i="17" s="1"/>
  <c r="K94" i="17"/>
  <c r="K86" i="17"/>
  <c r="M32" i="7"/>
  <c r="M31" i="7"/>
  <c r="R37" i="7"/>
  <c r="R36" i="7"/>
  <c r="U9" i="7"/>
  <c r="M33" i="7"/>
  <c r="M35" i="7"/>
  <c r="M34" i="7"/>
  <c r="P32" i="7"/>
  <c r="P31" i="7"/>
  <c r="L37" i="7"/>
  <c r="L36" i="7"/>
  <c r="U11" i="4"/>
  <c r="N32" i="4" s="1"/>
  <c r="O35" i="4" s="1"/>
  <c r="O11" i="4"/>
  <c r="K32" i="4" s="1"/>
  <c r="L34" i="4" s="1"/>
  <c r="E26" i="21"/>
  <c r="G17" i="21"/>
  <c r="G9" i="21"/>
  <c r="H9" i="21"/>
  <c r="I9" i="21"/>
  <c r="M17" i="21"/>
  <c r="N9" i="21"/>
  <c r="O9" i="21"/>
  <c r="M9" i="21"/>
  <c r="J17" i="21"/>
  <c r="K9" i="21"/>
  <c r="L9" i="21"/>
  <c r="J9" i="21"/>
  <c r="F10" i="13"/>
  <c r="F12" i="13" s="1"/>
  <c r="E10" i="13"/>
  <c r="E12" i="13" s="1"/>
  <c r="D10" i="13"/>
  <c r="D12" i="13" s="1"/>
  <c r="O9" i="17"/>
  <c r="O9" i="18"/>
  <c r="O9" i="16"/>
  <c r="R9" i="18"/>
  <c r="R9" i="16"/>
  <c r="R9" i="17"/>
  <c r="U9" i="17"/>
  <c r="U9" i="16"/>
  <c r="U9" i="18"/>
  <c r="H9" i="13"/>
  <c r="K9" i="13"/>
  <c r="H5" i="10"/>
  <c r="O9" i="6"/>
  <c r="K8" i="9"/>
  <c r="G15" i="9" s="1"/>
  <c r="R9" i="6"/>
  <c r="H8" i="9"/>
  <c r="F15" i="9" s="1"/>
  <c r="U9" i="6"/>
  <c r="N8" i="9"/>
  <c r="H15" i="9" s="1"/>
  <c r="K12" i="7"/>
  <c r="K13" i="7" s="1"/>
  <c r="Q40" i="7" s="1"/>
  <c r="Q12" i="7"/>
  <c r="Q13" i="7" s="1"/>
  <c r="K40" i="7" s="1"/>
  <c r="U12" i="7"/>
  <c r="U13" i="7" s="1"/>
  <c r="P12" i="7"/>
  <c r="P13" i="7" s="1"/>
  <c r="N48" i="7" s="1"/>
  <c r="L12" i="7"/>
  <c r="L13" i="7" s="1"/>
  <c r="N45" i="7" s="1"/>
  <c r="M12" i="7"/>
  <c r="M13" i="7" s="1"/>
  <c r="N12" i="7"/>
  <c r="N13" i="7" s="1"/>
  <c r="T12" i="7"/>
  <c r="T13" i="7" s="1"/>
  <c r="R12" i="7"/>
  <c r="R13" i="7" s="1"/>
  <c r="O45" i="7" s="1"/>
  <c r="S12" i="7"/>
  <c r="S13" i="7" s="1"/>
  <c r="O12" i="7"/>
  <c r="O13" i="7" s="1"/>
  <c r="L14" i="17" l="1"/>
  <c r="L16" i="17" s="1"/>
  <c r="L18" i="17" s="1"/>
  <c r="K111" i="17"/>
  <c r="S14" i="17"/>
  <c r="S16" i="17" s="1"/>
  <c r="S18" i="17" s="1"/>
  <c r="K114" i="17"/>
  <c r="K103" i="17"/>
  <c r="K108" i="17" s="1"/>
  <c r="R14" i="17"/>
  <c r="R16" i="17" s="1"/>
  <c r="R18" i="17" s="1"/>
  <c r="K112" i="17"/>
  <c r="L33" i="4"/>
  <c r="L35" i="4"/>
  <c r="M35" i="18"/>
  <c r="R39" i="18"/>
  <c r="R38" i="18"/>
  <c r="L33" i="18"/>
  <c r="M33" i="18" s="1"/>
  <c r="L37" i="18"/>
  <c r="P33" i="18"/>
  <c r="L39" i="18"/>
  <c r="L38" i="18"/>
  <c r="R33" i="18"/>
  <c r="R35" i="18"/>
  <c r="P35" i="18"/>
  <c r="R36" i="18"/>
  <c r="P32" i="18"/>
  <c r="P34" i="18"/>
  <c r="R32" i="18"/>
  <c r="P34" i="7"/>
  <c r="P33" i="7"/>
  <c r="P35" i="7"/>
  <c r="O33" i="4"/>
  <c r="M34" i="17"/>
  <c r="R38" i="17"/>
  <c r="M32" i="17"/>
  <c r="R37" i="17"/>
  <c r="O34" i="4"/>
  <c r="P34" i="17"/>
  <c r="R34" i="17" s="1"/>
  <c r="P32" i="17"/>
  <c r="R32" i="17" s="1"/>
  <c r="P33" i="17"/>
  <c r="R35" i="17"/>
  <c r="R31" i="17"/>
  <c r="P31" i="17"/>
  <c r="L38" i="17"/>
  <c r="L37" i="17"/>
  <c r="L34" i="17"/>
  <c r="L32" i="17"/>
  <c r="M34" i="16"/>
  <c r="L34" i="16"/>
  <c r="L32" i="16"/>
  <c r="M32" i="16" s="1"/>
  <c r="L38" i="16"/>
  <c r="L37" i="16"/>
  <c r="R33" i="16"/>
  <c r="P33" i="16"/>
  <c r="R31" i="16"/>
  <c r="P31" i="16" s="1"/>
  <c r="R36" i="16"/>
  <c r="P34" i="16"/>
  <c r="R32" i="16"/>
  <c r="P32" i="16" s="1"/>
  <c r="R31" i="6"/>
  <c r="P31" i="6"/>
  <c r="R37" i="6"/>
  <c r="R38" i="6"/>
  <c r="R33" i="6"/>
  <c r="P33" i="6" s="1"/>
  <c r="L38" i="6"/>
  <c r="L37" i="6"/>
  <c r="R36" i="6"/>
  <c r="P34" i="6"/>
  <c r="R32" i="6"/>
  <c r="P32" i="6" s="1"/>
  <c r="L36" i="6"/>
  <c r="L32" i="6"/>
  <c r="M32" i="6" s="1"/>
  <c r="M34" i="6"/>
  <c r="K117" i="17"/>
  <c r="V21" i="17" s="1"/>
  <c r="M5" i="10"/>
  <c r="K5" i="10"/>
  <c r="K28" i="10" s="1"/>
  <c r="K36" i="10" s="1"/>
  <c r="K37" i="10" s="1"/>
  <c r="J5" i="10"/>
  <c r="J28" i="10" s="1"/>
  <c r="J36" i="10" s="1"/>
  <c r="I5" i="10"/>
  <c r="I16" i="10" s="1"/>
  <c r="L5" i="10"/>
  <c r="F5" i="10"/>
  <c r="E5" i="10"/>
  <c r="E28" i="10" s="1"/>
  <c r="E36" i="10" s="1"/>
  <c r="E37" i="10" s="1"/>
  <c r="G5" i="10"/>
  <c r="G28" i="10" s="1"/>
  <c r="G36" i="10" s="1"/>
  <c r="N5" i="10"/>
  <c r="N28" i="10" s="1"/>
  <c r="N36" i="10" s="1"/>
  <c r="N37" i="10" s="1"/>
  <c r="D5" i="10"/>
  <c r="E27" i="21"/>
  <c r="G13" i="12"/>
  <c r="E26" i="12" s="1"/>
  <c r="Q19" i="12" s="1"/>
  <c r="F15" i="12"/>
  <c r="H25" i="12" s="1"/>
  <c r="N15" i="12" s="1"/>
  <c r="E13" i="12"/>
  <c r="F24" i="12" s="1"/>
  <c r="F13" i="12"/>
  <c r="F25" i="12" s="1"/>
  <c r="P7" i="12" s="1"/>
  <c r="F11" i="12"/>
  <c r="G24" i="12" s="1"/>
  <c r="O7" i="12" s="1"/>
  <c r="F9" i="12"/>
  <c r="G26" i="12" s="1"/>
  <c r="G15" i="12"/>
  <c r="I24" i="12" s="1"/>
  <c r="P19" i="12" s="1"/>
  <c r="I10" i="13"/>
  <c r="I12" i="13" s="1"/>
  <c r="G9" i="12"/>
  <c r="H27" i="12" s="1"/>
  <c r="E15" i="12"/>
  <c r="H26" i="12" s="1"/>
  <c r="N17" i="12" s="1"/>
  <c r="E9" i="12"/>
  <c r="F26" i="12" s="1"/>
  <c r="Q16" i="12" s="1"/>
  <c r="E11" i="12"/>
  <c r="H24" i="12" s="1"/>
  <c r="O8" i="12" s="1"/>
  <c r="H28" i="10"/>
  <c r="H36" i="10" s="1"/>
  <c r="H37" i="10" s="1"/>
  <c r="K10" i="13"/>
  <c r="K12" i="13" s="1"/>
  <c r="L10" i="13"/>
  <c r="H10" i="13"/>
  <c r="H12" i="13" s="1"/>
  <c r="J10" i="13"/>
  <c r="O10" i="13"/>
  <c r="G10" i="13"/>
  <c r="G12" i="13" s="1"/>
  <c r="M10" i="13"/>
  <c r="D15" i="13"/>
  <c r="N9" i="13"/>
  <c r="G11" i="12"/>
  <c r="F23" i="12" s="1"/>
  <c r="O47" i="7"/>
  <c r="O55" i="7" s="1"/>
  <c r="K39" i="7"/>
  <c r="O46" i="7"/>
  <c r="Q41" i="7"/>
  <c r="N47" i="7"/>
  <c r="N55" i="7" s="1"/>
  <c r="O49" i="7"/>
  <c r="O57" i="7" s="1"/>
  <c r="N49" i="7"/>
  <c r="N57" i="7" s="1"/>
  <c r="N46" i="7"/>
  <c r="Q39" i="7"/>
  <c r="K41" i="7"/>
  <c r="R17" i="17" l="1"/>
  <c r="K14" i="17"/>
  <c r="K16" i="17" s="1"/>
  <c r="T14" i="17"/>
  <c r="T16" i="17" s="1"/>
  <c r="T18" i="17" s="1"/>
  <c r="K115" i="17"/>
  <c r="O53" i="7"/>
  <c r="O54" i="7"/>
  <c r="N53" i="7"/>
  <c r="N54" i="7"/>
  <c r="E28" i="21"/>
  <c r="D30" i="21" s="1"/>
  <c r="H17" i="14" s="1"/>
  <c r="G37" i="21"/>
  <c r="G17" i="14" s="1"/>
  <c r="Q7" i="15"/>
  <c r="D17" i="13"/>
  <c r="Q15" i="15"/>
  <c r="J12" i="13"/>
  <c r="K62" i="10"/>
  <c r="K80" i="10"/>
  <c r="Q14" i="12"/>
  <c r="O15" i="12"/>
  <c r="N13" i="12"/>
  <c r="N10" i="13"/>
  <c r="N12" i="13" s="1"/>
  <c r="M24" i="15"/>
  <c r="L24" i="15"/>
  <c r="L23" i="15"/>
  <c r="M23" i="15"/>
  <c r="K25" i="15"/>
  <c r="K15" i="13"/>
  <c r="K23" i="15"/>
  <c r="N80" i="10"/>
  <c r="N62" i="10"/>
  <c r="H80" i="10"/>
  <c r="H62" i="10"/>
  <c r="E62" i="10"/>
  <c r="E80" i="10"/>
  <c r="P18" i="12"/>
  <c r="Q8" i="12"/>
  <c r="N14" i="12"/>
  <c r="O16" i="12"/>
  <c r="P9" i="12"/>
  <c r="D16" i="13"/>
  <c r="I28" i="10"/>
  <c r="G15" i="13"/>
  <c r="O18" i="12"/>
  <c r="N8" i="12"/>
  <c r="N20" i="12"/>
  <c r="Q7" i="12"/>
  <c r="D18" i="13"/>
  <c r="P17" i="12"/>
  <c r="O12" i="13"/>
  <c r="O15" i="13" s="1"/>
  <c r="O20" i="12"/>
  <c r="L12" i="13"/>
  <c r="Q9" i="12"/>
  <c r="M12" i="13"/>
  <c r="Q12" i="15" s="1"/>
  <c r="Q15" i="12"/>
  <c r="P13" i="12"/>
  <c r="P16" i="12"/>
  <c r="P14" i="12"/>
  <c r="N18" i="12"/>
  <c r="F28" i="10"/>
  <c r="F16" i="10"/>
  <c r="O13" i="12"/>
  <c r="Q17" i="12"/>
  <c r="P20" i="12"/>
  <c r="O19" i="12"/>
  <c r="N9" i="12"/>
  <c r="P15" i="12"/>
  <c r="Q13" i="12"/>
  <c r="N7" i="12"/>
  <c r="O14" i="12"/>
  <c r="O17" i="12"/>
  <c r="P8" i="12"/>
  <c r="N16" i="12"/>
  <c r="Q18" i="12"/>
  <c r="I17" i="10"/>
  <c r="L19" i="10" s="1"/>
  <c r="M28" i="10"/>
  <c r="M36" i="10" s="1"/>
  <c r="F17" i="10"/>
  <c r="D28" i="10"/>
  <c r="D36" i="10" s="1"/>
  <c r="L16" i="10"/>
  <c r="L28" i="10"/>
  <c r="L17" i="10"/>
  <c r="N19" i="12"/>
  <c r="Q20" i="12"/>
  <c r="O9" i="12"/>
  <c r="C28" i="10"/>
  <c r="C17" i="10"/>
  <c r="C16" i="10"/>
  <c r="K43" i="7"/>
  <c r="K77" i="7" s="1"/>
  <c r="K42" i="7"/>
  <c r="K44" i="7" s="1"/>
  <c r="Q43" i="7"/>
  <c r="Q42" i="7"/>
  <c r="Q44" i="7" s="1"/>
  <c r="K18" i="17" l="1"/>
  <c r="L17" i="17"/>
  <c r="N59" i="7"/>
  <c r="N67" i="7" s="1"/>
  <c r="E29" i="21"/>
  <c r="E31" i="21"/>
  <c r="K24" i="15"/>
  <c r="Q11" i="15"/>
  <c r="J15" i="13"/>
  <c r="Q9" i="15"/>
  <c r="Q14" i="15"/>
  <c r="Q8" i="15"/>
  <c r="K17" i="13"/>
  <c r="K16" i="13"/>
  <c r="N27" i="12"/>
  <c r="N28" i="12" s="1"/>
  <c r="N15" i="13"/>
  <c r="M22" i="15"/>
  <c r="L22" i="15"/>
  <c r="G16" i="13"/>
  <c r="M15" i="13"/>
  <c r="O16" i="13"/>
  <c r="O18" i="13"/>
  <c r="O17" i="13"/>
  <c r="L15" i="13"/>
  <c r="P27" i="12"/>
  <c r="P28" i="12" s="1"/>
  <c r="Q10" i="12"/>
  <c r="D19" i="13"/>
  <c r="D22" i="13" s="1"/>
  <c r="O7" i="15" s="1"/>
  <c r="Q24" i="12"/>
  <c r="Q25" i="12" s="1"/>
  <c r="Q26" i="12" s="1"/>
  <c r="C19" i="10"/>
  <c r="N21" i="12"/>
  <c r="N22" i="12" s="1"/>
  <c r="N23" i="12" s="1"/>
  <c r="O27" i="12"/>
  <c r="O28" i="12" s="1"/>
  <c r="L25" i="15"/>
  <c r="M25" i="15"/>
  <c r="K22" i="15"/>
  <c r="G18" i="13"/>
  <c r="G17" i="13"/>
  <c r="P24" i="12"/>
  <c r="P25" i="12" s="1"/>
  <c r="P26" i="12" s="1"/>
  <c r="O24" i="12"/>
  <c r="O25" i="12" s="1"/>
  <c r="O26" i="12" s="1"/>
  <c r="N24" i="12"/>
  <c r="N25" i="12" s="1"/>
  <c r="N26" i="12" s="1"/>
  <c r="P21" i="12"/>
  <c r="P22" i="12" s="1"/>
  <c r="P23" i="12" s="1"/>
  <c r="N10" i="12"/>
  <c r="O10" i="12"/>
  <c r="Q27" i="12"/>
  <c r="Q28" i="12" s="1"/>
  <c r="O21" i="12"/>
  <c r="O22" i="12" s="1"/>
  <c r="O23" i="12" s="1"/>
  <c r="P10" i="12"/>
  <c r="F19" i="10"/>
  <c r="I19" i="10"/>
  <c r="Q21" i="12"/>
  <c r="Q22" i="12" s="1"/>
  <c r="Q23" i="12" s="1"/>
  <c r="K78" i="7"/>
  <c r="K93" i="7" s="1"/>
  <c r="K92" i="7"/>
  <c r="Q78" i="7"/>
  <c r="Q93" i="7" s="1"/>
  <c r="Q77" i="7"/>
  <c r="Q92" i="7" s="1"/>
  <c r="O68" i="7" l="1"/>
  <c r="O73" i="7" s="1"/>
  <c r="O72" i="7"/>
  <c r="N79" i="7"/>
  <c r="N68" i="7"/>
  <c r="O79" i="7"/>
  <c r="O80" i="7"/>
  <c r="N80" i="7"/>
  <c r="N61" i="7"/>
  <c r="N69" i="7"/>
  <c r="K19" i="13"/>
  <c r="K20" i="13" s="1"/>
  <c r="J18" i="13"/>
  <c r="O19" i="13"/>
  <c r="O20" i="13" s="1"/>
  <c r="L16" i="13"/>
  <c r="J16" i="13"/>
  <c r="J17" i="13"/>
  <c r="I20" i="10"/>
  <c r="I22" i="10" s="1"/>
  <c r="L20" i="10"/>
  <c r="L22" i="10" s="1"/>
  <c r="L31" i="10" s="1"/>
  <c r="L36" i="10" s="1"/>
  <c r="P7" i="15"/>
  <c r="F20" i="10"/>
  <c r="C20" i="10"/>
  <c r="C22" i="10" s="1"/>
  <c r="G19" i="13"/>
  <c r="G20" i="13" s="1"/>
  <c r="N18" i="13"/>
  <c r="M16" i="13"/>
  <c r="N17" i="13"/>
  <c r="N16" i="13"/>
  <c r="M17" i="13"/>
  <c r="M18" i="13"/>
  <c r="Q13" i="15"/>
  <c r="L18" i="13"/>
  <c r="L17" i="13"/>
  <c r="Q10" i="15"/>
  <c r="D20" i="13"/>
  <c r="D23" i="13"/>
  <c r="L7" i="15"/>
  <c r="Q29" i="12"/>
  <c r="Q30" i="12" s="1"/>
  <c r="Q31" i="12" s="1"/>
  <c r="P29" i="12"/>
  <c r="P30" i="12" s="1"/>
  <c r="N29" i="12"/>
  <c r="N30" i="12" s="1"/>
  <c r="O29" i="12"/>
  <c r="Q103" i="7"/>
  <c r="Q94" i="7"/>
  <c r="M14" i="7"/>
  <c r="M16" i="7" s="1"/>
  <c r="M18" i="7" s="1"/>
  <c r="Q102" i="7"/>
  <c r="K103" i="7"/>
  <c r="K94" i="7"/>
  <c r="K102" i="7"/>
  <c r="O88" i="7" l="1"/>
  <c r="N73" i="7"/>
  <c r="N88" i="7" s="1"/>
  <c r="F22" i="10"/>
  <c r="F31" i="10" s="1"/>
  <c r="F36" i="10" s="1"/>
  <c r="O87" i="7"/>
  <c r="O97" i="7" s="1"/>
  <c r="O69" i="7"/>
  <c r="O74" i="7" s="1"/>
  <c r="N74" i="7"/>
  <c r="N89" i="7" s="1"/>
  <c r="N99" i="7" s="1"/>
  <c r="N70" i="7"/>
  <c r="O75" i="7" s="1"/>
  <c r="N75" i="7"/>
  <c r="N72" i="7"/>
  <c r="N87" i="7" s="1"/>
  <c r="N19" i="13"/>
  <c r="N20" i="13" s="1"/>
  <c r="M19" i="13"/>
  <c r="M20" i="13" s="1"/>
  <c r="L19" i="13"/>
  <c r="L20" i="13" s="1"/>
  <c r="J19" i="13"/>
  <c r="J20" i="13" s="1"/>
  <c r="N7" i="15"/>
  <c r="D26" i="13" s="1"/>
  <c r="R40" i="10"/>
  <c r="I31" i="10"/>
  <c r="I36" i="10" s="1"/>
  <c r="I37" i="10" s="1"/>
  <c r="I62" i="10" s="1"/>
  <c r="Q16" i="15"/>
  <c r="C31" i="10"/>
  <c r="C36" i="10" s="1"/>
  <c r="D37" i="10" s="1"/>
  <c r="D62" i="10" s="1"/>
  <c r="L37" i="10"/>
  <c r="L62" i="10" s="1"/>
  <c r="M37" i="10"/>
  <c r="Q17" i="15"/>
  <c r="L14" i="15"/>
  <c r="O22" i="13"/>
  <c r="L32" i="15"/>
  <c r="G22" i="13"/>
  <c r="M7" i="15"/>
  <c r="N31" i="12"/>
  <c r="O30" i="12"/>
  <c r="O31" i="12" s="1"/>
  <c r="S29" i="12"/>
  <c r="S30" i="12" s="1"/>
  <c r="G18" i="14" s="1"/>
  <c r="P31" i="12"/>
  <c r="V21" i="7"/>
  <c r="N93" i="7" l="1"/>
  <c r="R39" i="10"/>
  <c r="G37" i="10"/>
  <c r="F37" i="10"/>
  <c r="F62" i="10" s="1"/>
  <c r="R14" i="7"/>
  <c r="R16" i="7" s="1"/>
  <c r="R18" i="7" s="1"/>
  <c r="N76" i="7"/>
  <c r="N91" i="7" s="1"/>
  <c r="O70" i="7"/>
  <c r="O89" i="7"/>
  <c r="U14" i="7" s="1"/>
  <c r="U16" i="7" s="1"/>
  <c r="U18" i="7" s="1"/>
  <c r="N97" i="7"/>
  <c r="N92" i="7"/>
  <c r="N98" i="7"/>
  <c r="O14" i="7"/>
  <c r="O16" i="7" s="1"/>
  <c r="O18" i="7" s="1"/>
  <c r="Q14" i="7"/>
  <c r="Q16" i="7" s="1"/>
  <c r="Q18" i="7" s="1"/>
  <c r="O98" i="7"/>
  <c r="S14" i="7"/>
  <c r="S16" i="7" s="1"/>
  <c r="S18" i="7" s="1"/>
  <c r="K29" i="13"/>
  <c r="G15" i="14" s="1"/>
  <c r="O14" i="15"/>
  <c r="P14" i="15" s="1"/>
  <c r="N14" i="15" s="1"/>
  <c r="O23" i="13"/>
  <c r="J37" i="10"/>
  <c r="J38" i="10" s="1"/>
  <c r="C37" i="10"/>
  <c r="G23" i="13"/>
  <c r="O8" i="15"/>
  <c r="L33" i="15"/>
  <c r="L22" i="13"/>
  <c r="L23" i="13" s="1"/>
  <c r="M80" i="10"/>
  <c r="M62" i="10"/>
  <c r="L80" i="10"/>
  <c r="D80" i="10"/>
  <c r="O24" i="13"/>
  <c r="O25" i="13"/>
  <c r="I80" i="10"/>
  <c r="R7" i="15"/>
  <c r="L8" i="15"/>
  <c r="S31" i="12"/>
  <c r="H18" i="14" s="1"/>
  <c r="G62" i="10" l="1"/>
  <c r="C38" i="10"/>
  <c r="K38" i="10"/>
  <c r="L38" i="10"/>
  <c r="M38" i="10"/>
  <c r="N38" i="10"/>
  <c r="I38" i="10"/>
  <c r="D38" i="10"/>
  <c r="H38" i="10"/>
  <c r="G38" i="10"/>
  <c r="F38" i="10"/>
  <c r="E38" i="10"/>
  <c r="F80" i="10"/>
  <c r="G80" i="10"/>
  <c r="N101" i="7"/>
  <c r="N14" i="7"/>
  <c r="N16" i="7" s="1"/>
  <c r="N18" i="7" s="1"/>
  <c r="K14" i="7"/>
  <c r="K16" i="7" s="1"/>
  <c r="O99" i="7"/>
  <c r="V20" i="7" s="1"/>
  <c r="O76" i="7"/>
  <c r="G28" i="14" s="1"/>
  <c r="L14" i="7"/>
  <c r="L16" i="7" s="1"/>
  <c r="L18" i="7" s="1"/>
  <c r="L21" i="13"/>
  <c r="N21" i="13"/>
  <c r="N22" i="13" s="1"/>
  <c r="N23" i="13" s="1"/>
  <c r="Q32" i="15" s="1"/>
  <c r="K21" i="13"/>
  <c r="K22" i="13" s="1"/>
  <c r="R17" i="7"/>
  <c r="J62" i="10"/>
  <c r="J80" i="10"/>
  <c r="C62" i="10"/>
  <c r="P8" i="15"/>
  <c r="N8" i="15" s="1"/>
  <c r="G26" i="13" s="1"/>
  <c r="C80" i="10"/>
  <c r="M14" i="15"/>
  <c r="O32" i="15"/>
  <c r="M32" i="15"/>
  <c r="M8" i="15"/>
  <c r="L11" i="15"/>
  <c r="L24" i="13"/>
  <c r="O11" i="15"/>
  <c r="L25" i="13"/>
  <c r="T31" i="12"/>
  <c r="I46" i="10" l="1"/>
  <c r="L46" i="10"/>
  <c r="O17" i="7"/>
  <c r="O91" i="7"/>
  <c r="M33" i="15"/>
  <c r="R32" i="15"/>
  <c r="S32" i="15" s="1"/>
  <c r="T32" i="15" s="1"/>
  <c r="F56" i="10"/>
  <c r="E56" i="10"/>
  <c r="C49" i="10"/>
  <c r="P11" i="15"/>
  <c r="N11" i="15" s="1"/>
  <c r="L26" i="13" s="1"/>
  <c r="R14" i="15"/>
  <c r="O26" i="13"/>
  <c r="D56" i="10"/>
  <c r="C40" i="10"/>
  <c r="C42" i="10" s="1"/>
  <c r="E49" i="10"/>
  <c r="C46" i="10"/>
  <c r="E46" i="10" s="1"/>
  <c r="C56" i="10"/>
  <c r="M11" i="15"/>
  <c r="P33" i="15"/>
  <c r="K23" i="13"/>
  <c r="N32" i="15" s="1"/>
  <c r="N33" i="15" s="1"/>
  <c r="R8" i="15"/>
  <c r="Q33" i="15"/>
  <c r="K18" i="7"/>
  <c r="L17" i="7"/>
  <c r="N46" i="10" l="1"/>
  <c r="E81" i="10"/>
  <c r="K81" i="10"/>
  <c r="N81" i="10"/>
  <c r="H81" i="10"/>
  <c r="F81" i="10"/>
  <c r="G81" i="10"/>
  <c r="D81" i="10"/>
  <c r="M81" i="10"/>
  <c r="L81" i="10"/>
  <c r="I81" i="10"/>
  <c r="J81" i="10"/>
  <c r="C81" i="10"/>
  <c r="O101" i="7"/>
  <c r="T14" i="7"/>
  <c r="N94" i="7"/>
  <c r="R33" i="15"/>
  <c r="S33" i="15" s="1"/>
  <c r="E50" i="10"/>
  <c r="R11" i="15"/>
  <c r="D42" i="10"/>
  <c r="P12" i="6"/>
  <c r="P13" i="6" s="1"/>
  <c r="O42" i="6" s="1"/>
  <c r="Q12" i="6"/>
  <c r="Q13" i="6" s="1"/>
  <c r="K45" i="6" s="1"/>
  <c r="T12" i="6"/>
  <c r="T13" i="6" s="1"/>
  <c r="Q45" i="6" s="1"/>
  <c r="U12" i="6"/>
  <c r="U13" i="6" s="1"/>
  <c r="V12" i="6"/>
  <c r="V13" i="6" s="1"/>
  <c r="O43" i="6" s="1"/>
  <c r="K12" i="6"/>
  <c r="K13" i="6" s="1"/>
  <c r="Q47" i="6" s="1"/>
  <c r="L12" i="6"/>
  <c r="L13" i="6" s="1"/>
  <c r="M12" i="6"/>
  <c r="M13" i="6" s="1"/>
  <c r="N42" i="6" s="1"/>
  <c r="N12" i="6"/>
  <c r="N13" i="6" s="1"/>
  <c r="Q42" i="6" s="1"/>
  <c r="O12" i="6"/>
  <c r="O13" i="6" s="1"/>
  <c r="R12" i="6"/>
  <c r="R13" i="6" s="1"/>
  <c r="S12" i="6"/>
  <c r="S13" i="6" s="1"/>
  <c r="N43" i="6" s="1"/>
  <c r="P26" i="6"/>
  <c r="E35" i="6"/>
  <c r="K15" i="6" s="1"/>
  <c r="N49" i="6"/>
  <c r="Q49" i="6"/>
  <c r="Q50" i="6"/>
  <c r="K55" i="6"/>
  <c r="Q55" i="6"/>
  <c r="K56" i="6"/>
  <c r="Q56" i="6"/>
  <c r="L58" i="6"/>
  <c r="L59" i="6" s="1"/>
  <c r="R58" i="6"/>
  <c r="R59" i="6" s="1"/>
  <c r="K60" i="6"/>
  <c r="Q60" i="6"/>
  <c r="O66" i="6"/>
  <c r="O68" i="6" s="1"/>
  <c r="K67" i="6"/>
  <c r="N67" i="6"/>
  <c r="Q67" i="6"/>
  <c r="Q73" i="6" s="1"/>
  <c r="N68" i="6"/>
  <c r="N69" i="6"/>
  <c r="Q99" i="6"/>
  <c r="Q111" i="6" s="1"/>
  <c r="Q40" i="6" l="1"/>
  <c r="Q52" i="6" s="1"/>
  <c r="K40" i="6"/>
  <c r="K52" i="6" s="1"/>
  <c r="T16" i="7"/>
  <c r="N19" i="7"/>
  <c r="K73" i="6"/>
  <c r="K68" i="6" s="1"/>
  <c r="T33" i="15"/>
  <c r="M21" i="13" s="1"/>
  <c r="M22" i="13" s="1"/>
  <c r="M23" i="13" s="1"/>
  <c r="N24" i="13" s="1"/>
  <c r="J21" i="13"/>
  <c r="J22" i="13" s="1"/>
  <c r="D53" i="10"/>
  <c r="D55" i="10" s="1"/>
  <c r="G54" i="10"/>
  <c r="F53" i="10"/>
  <c r="F55" i="10" s="1"/>
  <c r="E53" i="10"/>
  <c r="E55" i="10" s="1"/>
  <c r="C53" i="10"/>
  <c r="C55" i="10" s="1"/>
  <c r="O55" i="6"/>
  <c r="Q54" i="6"/>
  <c r="Q59" i="6"/>
  <c r="O69" i="6"/>
  <c r="N54" i="6"/>
  <c r="K57" i="6"/>
  <c r="Q57" i="6"/>
  <c r="N55" i="6"/>
  <c r="K42" i="6"/>
  <c r="K54" i="6" s="1"/>
  <c r="Q41" i="6"/>
  <c r="Q53" i="6" s="1"/>
  <c r="Q46" i="6"/>
  <c r="Q58" i="6" s="1"/>
  <c r="O40" i="6"/>
  <c r="O52" i="6" s="1"/>
  <c r="N40" i="6"/>
  <c r="N52" i="6" s="1"/>
  <c r="N41" i="6"/>
  <c r="N53" i="6" s="1"/>
  <c r="K41" i="6"/>
  <c r="K53" i="6" s="1"/>
  <c r="O54" i="6"/>
  <c r="O67" i="6"/>
  <c r="K47" i="6"/>
  <c r="K59" i="6" s="1"/>
  <c r="O41" i="6"/>
  <c r="O53" i="6" s="1"/>
  <c r="T15" i="6"/>
  <c r="K46" i="6"/>
  <c r="K58" i="6" s="1"/>
  <c r="Q15" i="6"/>
  <c r="N15" i="6"/>
  <c r="Q72" i="6"/>
  <c r="Q68" i="6" s="1"/>
  <c r="C75" i="10" l="1"/>
  <c r="E64" i="10"/>
  <c r="H64" i="10"/>
  <c r="C64" i="10"/>
  <c r="F64" i="10"/>
  <c r="I64" i="10"/>
  <c r="L64" i="10"/>
  <c r="D64" i="10"/>
  <c r="G64" i="10"/>
  <c r="K64" i="10"/>
  <c r="N64" i="10"/>
  <c r="M64" i="10"/>
  <c r="J64" i="10"/>
  <c r="I87" i="10"/>
  <c r="I88" i="10" s="1"/>
  <c r="I89" i="10" s="1"/>
  <c r="L87" i="10"/>
  <c r="L88" i="10" s="1"/>
  <c r="L89" i="10" s="1"/>
  <c r="F87" i="10"/>
  <c r="F88" i="10" s="1"/>
  <c r="F89" i="10" s="1"/>
  <c r="N87" i="10"/>
  <c r="N88" i="10" s="1"/>
  <c r="N89" i="10" s="1"/>
  <c r="K87" i="10"/>
  <c r="K88" i="10" s="1"/>
  <c r="K89" i="10" s="1"/>
  <c r="C87" i="10"/>
  <c r="C88" i="10" s="1"/>
  <c r="C89" i="10" s="1"/>
  <c r="M87" i="10"/>
  <c r="M88" i="10" s="1"/>
  <c r="M89" i="10" s="1"/>
  <c r="J87" i="10"/>
  <c r="J88" i="10" s="1"/>
  <c r="J89" i="10" s="1"/>
  <c r="H87" i="10"/>
  <c r="H88" i="10" s="1"/>
  <c r="H89" i="10" s="1"/>
  <c r="G87" i="10"/>
  <c r="G88" i="10" s="1"/>
  <c r="G89" i="10" s="1"/>
  <c r="E87" i="10"/>
  <c r="E88" i="10" s="1"/>
  <c r="E89" i="10" s="1"/>
  <c r="D87" i="10"/>
  <c r="D88" i="10" s="1"/>
  <c r="D89" i="10" s="1"/>
  <c r="E57" i="10"/>
  <c r="E58" i="10" s="1"/>
  <c r="H65" i="10"/>
  <c r="C57" i="10"/>
  <c r="C58" i="10" s="1"/>
  <c r="O19" i="7"/>
  <c r="H28" i="14"/>
  <c r="T18" i="7"/>
  <c r="U17" i="7"/>
  <c r="U19" i="7"/>
  <c r="V19" i="7" s="1"/>
  <c r="H55" i="6"/>
  <c r="J23" i="13"/>
  <c r="K24" i="13" s="1"/>
  <c r="K25" i="13" s="1"/>
  <c r="M10" i="15" s="1"/>
  <c r="L9" i="15"/>
  <c r="J25" i="13"/>
  <c r="O9" i="15"/>
  <c r="P9" i="15" s="1"/>
  <c r="J24" i="13"/>
  <c r="E65" i="10"/>
  <c r="G65" i="10"/>
  <c r="D65" i="10"/>
  <c r="D57" i="10"/>
  <c r="H66" i="10" s="1"/>
  <c r="I65" i="10"/>
  <c r="K65" i="10"/>
  <c r="M25" i="13"/>
  <c r="M24" i="13"/>
  <c r="L12" i="15"/>
  <c r="O12" i="15"/>
  <c r="P12" i="15" s="1"/>
  <c r="N12" i="15" s="1"/>
  <c r="M26" i="13" s="1"/>
  <c r="L13" i="15"/>
  <c r="J65" i="10"/>
  <c r="L65" i="10"/>
  <c r="F57" i="10"/>
  <c r="M65" i="10"/>
  <c r="N65" i="10"/>
  <c r="F65" i="10"/>
  <c r="C65" i="10"/>
  <c r="Q61" i="6"/>
  <c r="Q75" i="6" s="1"/>
  <c r="K61" i="6"/>
  <c r="K75" i="6" s="1"/>
  <c r="K91" i="6" s="1"/>
  <c r="R53" i="6"/>
  <c r="Q63" i="6" s="1"/>
  <c r="L53" i="6"/>
  <c r="L52" i="6" s="1"/>
  <c r="N61" i="6"/>
  <c r="H67" i="10" l="1"/>
  <c r="H69" i="10"/>
  <c r="L66" i="10"/>
  <c r="L69" i="10" s="1"/>
  <c r="Q64" i="6"/>
  <c r="Q79" i="6"/>
  <c r="H56" i="6"/>
  <c r="H57" i="6" s="1"/>
  <c r="H58" i="6" s="1"/>
  <c r="K79" i="6"/>
  <c r="K64" i="6"/>
  <c r="N9" i="15"/>
  <c r="R9" i="15" s="1"/>
  <c r="O10" i="15"/>
  <c r="P10" i="15" s="1"/>
  <c r="N10" i="15" s="1"/>
  <c r="K26" i="13" s="1"/>
  <c r="L10" i="15"/>
  <c r="M9" i="15"/>
  <c r="E66" i="10"/>
  <c r="E69" i="10" s="1"/>
  <c r="D66" i="10"/>
  <c r="D58" i="10"/>
  <c r="H83" i="10"/>
  <c r="F66" i="10"/>
  <c r="F69" i="10" s="1"/>
  <c r="G66" i="10"/>
  <c r="C66" i="10"/>
  <c r="H68" i="10"/>
  <c r="H82" i="10" s="1"/>
  <c r="N25" i="13"/>
  <c r="M13" i="15" s="1"/>
  <c r="O13" i="15"/>
  <c r="P13" i="15" s="1"/>
  <c r="N13" i="15" s="1"/>
  <c r="R12" i="15"/>
  <c r="M12" i="15"/>
  <c r="J66" i="10"/>
  <c r="I66" i="10"/>
  <c r="I69" i="10" s="1"/>
  <c r="M66" i="10"/>
  <c r="N66" i="10"/>
  <c r="N69" i="10" s="1"/>
  <c r="K66" i="10"/>
  <c r="F58" i="10"/>
  <c r="R52" i="6"/>
  <c r="R57" i="6" s="1"/>
  <c r="K63" i="6"/>
  <c r="N64" i="6"/>
  <c r="N74" i="6"/>
  <c r="L57" i="6"/>
  <c r="C67" i="10" l="1"/>
  <c r="C69" i="10"/>
  <c r="J68" i="10"/>
  <c r="J82" i="10" s="1"/>
  <c r="J69" i="10"/>
  <c r="G67" i="10"/>
  <c r="G69" i="10"/>
  <c r="K68" i="10"/>
  <c r="K82" i="10" s="1"/>
  <c r="K69" i="10"/>
  <c r="M68" i="10"/>
  <c r="M82" i="10" s="1"/>
  <c r="M69" i="10"/>
  <c r="D83" i="10"/>
  <c r="D69" i="10"/>
  <c r="N68" i="10"/>
  <c r="N82" i="10" s="1"/>
  <c r="N67" i="10"/>
  <c r="L68" i="10"/>
  <c r="L82" i="10" s="1"/>
  <c r="L67" i="10"/>
  <c r="L83" i="10"/>
  <c r="N82" i="6"/>
  <c r="N90" i="6"/>
  <c r="K74" i="6"/>
  <c r="K81" i="6" s="1"/>
  <c r="K95" i="6"/>
  <c r="J26" i="13"/>
  <c r="E67" i="10"/>
  <c r="C83" i="10"/>
  <c r="H84" i="10"/>
  <c r="H85" i="10"/>
  <c r="E68" i="10"/>
  <c r="E82" i="10" s="1"/>
  <c r="F67" i="10"/>
  <c r="C68" i="10"/>
  <c r="C82" i="10" s="1"/>
  <c r="D67" i="10"/>
  <c r="D68" i="10"/>
  <c r="D82" i="10" s="1"/>
  <c r="E83" i="10"/>
  <c r="G68" i="10"/>
  <c r="G82" i="10" s="1"/>
  <c r="G83" i="10"/>
  <c r="F68" i="10"/>
  <c r="F82" i="10" s="1"/>
  <c r="F83" i="10"/>
  <c r="H70" i="10"/>
  <c r="H71" i="10" s="1"/>
  <c r="J67" i="10"/>
  <c r="N83" i="10"/>
  <c r="M83" i="10"/>
  <c r="I68" i="10"/>
  <c r="I82" i="10" s="1"/>
  <c r="K67" i="10"/>
  <c r="K83" i="10"/>
  <c r="J83" i="10"/>
  <c r="I67" i="10"/>
  <c r="I83" i="10"/>
  <c r="M67" i="10"/>
  <c r="N26" i="13"/>
  <c r="R13" i="15"/>
  <c r="R10" i="15"/>
  <c r="O74" i="6"/>
  <c r="N76" i="6"/>
  <c r="N75" i="6"/>
  <c r="N83" i="6" s="1"/>
  <c r="N77" i="6"/>
  <c r="J84" i="10" l="1"/>
  <c r="D84" i="10"/>
  <c r="M70" i="10"/>
  <c r="J70" i="10"/>
  <c r="J71" i="10" s="1"/>
  <c r="N70" i="10"/>
  <c r="N71" i="10" s="1"/>
  <c r="K70" i="10"/>
  <c r="K71" i="10" s="1"/>
  <c r="K85" i="10"/>
  <c r="N85" i="10"/>
  <c r="O67" i="10"/>
  <c r="G14" i="14" s="1"/>
  <c r="N100" i="6"/>
  <c r="N112" i="6" s="1"/>
  <c r="L70" i="10"/>
  <c r="L71" i="10" s="1"/>
  <c r="L84" i="10"/>
  <c r="L85" i="10"/>
  <c r="N84" i="6"/>
  <c r="N92" i="6"/>
  <c r="K80" i="6"/>
  <c r="K76" i="6" s="1"/>
  <c r="E84" i="10"/>
  <c r="E85" i="10"/>
  <c r="C85" i="10"/>
  <c r="E70" i="10"/>
  <c r="E71" i="10" s="1"/>
  <c r="C70" i="10"/>
  <c r="F84" i="10"/>
  <c r="G85" i="10"/>
  <c r="G84" i="10"/>
  <c r="F85" i="10"/>
  <c r="C84" i="10"/>
  <c r="D85" i="10"/>
  <c r="D70" i="10"/>
  <c r="D71" i="10" s="1"/>
  <c r="G70" i="10"/>
  <c r="G71" i="10" s="1"/>
  <c r="F70" i="10"/>
  <c r="F71" i="10" s="1"/>
  <c r="N84" i="10"/>
  <c r="M84" i="10"/>
  <c r="I84" i="10"/>
  <c r="I70" i="10"/>
  <c r="K84" i="10"/>
  <c r="J85" i="10"/>
  <c r="I85" i="10"/>
  <c r="M71" i="10"/>
  <c r="R16" i="15"/>
  <c r="R17" i="15" s="1"/>
  <c r="T17" i="15" s="1"/>
  <c r="G29" i="13" s="1"/>
  <c r="M85" i="10"/>
  <c r="O77" i="6"/>
  <c r="O93" i="6" s="1"/>
  <c r="O76" i="6"/>
  <c r="O75" i="6"/>
  <c r="O91" i="6" s="1"/>
  <c r="O82" i="6"/>
  <c r="O100" i="6" s="1"/>
  <c r="N85" i="6"/>
  <c r="N103" i="6" s="1"/>
  <c r="N101" i="6"/>
  <c r="N102" i="6" l="1"/>
  <c r="N114" i="6" s="1"/>
  <c r="C71" i="10"/>
  <c r="C73" i="10"/>
  <c r="H14" i="14" s="1"/>
  <c r="K89" i="6"/>
  <c r="K107" i="6" s="1"/>
  <c r="K119" i="6" s="1"/>
  <c r="I71" i="10"/>
  <c r="T16" i="15"/>
  <c r="G28" i="13" s="1"/>
  <c r="S14" i="6"/>
  <c r="S16" i="6" s="1"/>
  <c r="S18" i="6" s="1"/>
  <c r="N115" i="6"/>
  <c r="O112" i="6"/>
  <c r="O84" i="6"/>
  <c r="O102" i="6" s="1"/>
  <c r="O85" i="6"/>
  <c r="O103" i="6" s="1"/>
  <c r="O83" i="6"/>
  <c r="O101" i="6" s="1"/>
  <c r="N113" i="6"/>
  <c r="C74" i="10" l="1"/>
  <c r="H15" i="14"/>
  <c r="O113" i="6"/>
  <c r="V20" i="6" s="1"/>
  <c r="N109" i="6"/>
  <c r="O115" i="6"/>
  <c r="O114" i="6"/>
  <c r="Q73" i="5" l="1"/>
  <c r="Q82" i="5" s="1"/>
  <c r="Q71" i="5"/>
  <c r="K71" i="5"/>
  <c r="Q66" i="5"/>
  <c r="N66" i="5"/>
  <c r="K65" i="5"/>
  <c r="D51" i="5"/>
  <c r="D50" i="5"/>
  <c r="D49" i="5"/>
  <c r="D48" i="5"/>
  <c r="P27" i="5"/>
  <c r="V10" i="5"/>
  <c r="V11" i="5" s="1"/>
  <c r="Q45" i="5" s="1"/>
  <c r="N45" i="5" s="1"/>
  <c r="N55" i="5" s="1"/>
  <c r="U10" i="5"/>
  <c r="U11" i="5" s="1"/>
  <c r="T10" i="5"/>
  <c r="T11" i="5" s="1"/>
  <c r="S10" i="5"/>
  <c r="S11" i="5" s="1"/>
  <c r="R10" i="5"/>
  <c r="R11" i="5" s="1"/>
  <c r="Q10" i="5"/>
  <c r="Q11" i="5" s="1"/>
  <c r="P10" i="5"/>
  <c r="P11" i="5" s="1"/>
  <c r="K44" i="5" s="1"/>
  <c r="N44" i="5" s="1"/>
  <c r="O10" i="5"/>
  <c r="O11" i="5" s="1"/>
  <c r="N10" i="5"/>
  <c r="N11" i="5" s="1"/>
  <c r="M10" i="5"/>
  <c r="M11" i="5" s="1"/>
  <c r="L10" i="5"/>
  <c r="L11" i="5" s="1"/>
  <c r="K10" i="5"/>
  <c r="K11" i="5" s="1"/>
  <c r="R7" i="5"/>
  <c r="Q30" i="5" s="1"/>
  <c r="O7" i="5"/>
  <c r="L7" i="5"/>
  <c r="K30" i="5" s="1"/>
  <c r="Q59" i="5" l="1"/>
  <c r="L32" i="5"/>
  <c r="R37" i="5"/>
  <c r="K59" i="5"/>
  <c r="L37" i="5"/>
  <c r="L31" i="5"/>
  <c r="O33" i="5"/>
  <c r="U7" i="5"/>
  <c r="R36" i="5" s="1"/>
  <c r="L36" i="5"/>
  <c r="N40" i="5"/>
  <c r="N50" i="5" s="1"/>
  <c r="N41" i="5"/>
  <c r="N51" i="5" s="1"/>
  <c r="K54" i="5"/>
  <c r="Q55" i="5"/>
  <c r="K46" i="5"/>
  <c r="K56" i="5" s="1"/>
  <c r="Q46" i="5"/>
  <c r="Q56" i="5" s="1"/>
  <c r="Q38" i="5"/>
  <c r="K38" i="5"/>
  <c r="N38" i="5"/>
  <c r="N39" i="5"/>
  <c r="K39" i="5"/>
  <c r="Q39" i="5"/>
  <c r="N42" i="5"/>
  <c r="N43" i="5"/>
  <c r="N54" i="5"/>
  <c r="O34" i="5" l="1"/>
  <c r="R31" i="5"/>
  <c r="O31" i="5"/>
  <c r="O35" i="5"/>
  <c r="O36" i="5"/>
  <c r="O32" i="5"/>
  <c r="R32" i="5"/>
  <c r="N48" i="5"/>
  <c r="N47" i="5"/>
  <c r="O47" i="5" s="1"/>
  <c r="N52" i="5"/>
  <c r="C76" i="5"/>
  <c r="K49" i="5"/>
  <c r="K47" i="5"/>
  <c r="L47" i="5" s="1"/>
  <c r="N53" i="5"/>
  <c r="C74" i="5"/>
  <c r="Q47" i="5"/>
  <c r="R47" i="5" s="1"/>
  <c r="Q48" i="5"/>
  <c r="Q61" i="5" s="1"/>
  <c r="Q62" i="5" s="1"/>
  <c r="C77" i="5"/>
  <c r="N49" i="5"/>
  <c r="C75" i="5"/>
  <c r="Q72" i="5" l="1"/>
  <c r="Q81" i="5" s="1"/>
  <c r="K61" i="5"/>
  <c r="K73" i="5" s="1"/>
  <c r="N61" i="5"/>
  <c r="N74" i="5" s="1"/>
  <c r="N75" i="5" s="1"/>
  <c r="K62" i="5" l="1"/>
  <c r="K78" i="5"/>
  <c r="N72" i="5"/>
  <c r="N62" i="5"/>
  <c r="Q78" i="5"/>
  <c r="Q97" i="5"/>
  <c r="K82" i="5"/>
  <c r="K98" i="5" s="1"/>
  <c r="N76" i="5" l="1"/>
  <c r="N77" i="5" s="1"/>
  <c r="N89" i="5"/>
  <c r="N83" i="5"/>
  <c r="N84" i="5"/>
  <c r="N100" i="5" s="1"/>
  <c r="N73" i="5"/>
  <c r="N90" i="5" s="1"/>
  <c r="N81" i="5"/>
  <c r="K107" i="5"/>
  <c r="K113" i="5" s="1"/>
  <c r="V20" i="5" s="1"/>
  <c r="Q106" i="5"/>
  <c r="Q113" i="5" s="1"/>
  <c r="V21" i="5" s="1"/>
  <c r="K87" i="5"/>
  <c r="K103" i="5" s="1"/>
  <c r="K88" i="5"/>
  <c r="K104" i="5" s="1"/>
  <c r="Q87" i="5"/>
  <c r="Q103" i="5" s="1"/>
  <c r="Q88" i="5"/>
  <c r="Q104" i="5" s="1"/>
  <c r="N97" i="5" l="1"/>
  <c r="N86" i="5"/>
  <c r="N102" i="5" s="1"/>
  <c r="T12" i="5" s="1"/>
  <c r="T14" i="5" s="1"/>
  <c r="N85" i="5"/>
  <c r="D76" i="5" s="1"/>
  <c r="N108" i="5"/>
  <c r="N99" i="5"/>
  <c r="O12" i="5" s="1"/>
  <c r="O14" i="5" s="1"/>
  <c r="O17" i="5" s="1"/>
  <c r="N101" i="5"/>
  <c r="N109" i="5" s="1"/>
  <c r="D77" i="5"/>
  <c r="N82" i="5"/>
  <c r="N98" i="5" s="1"/>
  <c r="U12" i="5"/>
  <c r="U14" i="5" s="1"/>
  <c r="U17" i="5" s="1"/>
  <c r="K105" i="5"/>
  <c r="Q105" i="5"/>
  <c r="K12" i="5"/>
  <c r="K14" i="5" s="1"/>
  <c r="K112" i="5"/>
  <c r="Q112" i="5"/>
  <c r="Q12" i="5"/>
  <c r="Q14" i="5" s="1"/>
  <c r="E77" i="5" l="1"/>
  <c r="F77" i="5" s="1"/>
  <c r="D74" i="5"/>
  <c r="G23" i="14"/>
  <c r="D75" i="5"/>
  <c r="V12" i="5"/>
  <c r="V14" i="5" s="1"/>
  <c r="V17" i="5" s="1"/>
  <c r="P12" i="5"/>
  <c r="P14" i="5" s="1"/>
  <c r="P17" i="5" s="1"/>
  <c r="N110" i="5"/>
  <c r="N12" i="5"/>
  <c r="N14" i="5" s="1"/>
  <c r="N111" i="5"/>
  <c r="N107" i="5"/>
  <c r="S12" i="5"/>
  <c r="S14" i="5" s="1"/>
  <c r="S17" i="5" s="1"/>
  <c r="R12" i="5"/>
  <c r="R14" i="5" s="1"/>
  <c r="K17" i="5"/>
  <c r="M12" i="5"/>
  <c r="M14" i="5" s="1"/>
  <c r="M17" i="5" s="1"/>
  <c r="L12" i="5"/>
  <c r="L14" i="5" s="1"/>
  <c r="L17" i="5" s="1"/>
  <c r="N105" i="5"/>
  <c r="N106" i="5"/>
  <c r="Q17" i="5"/>
  <c r="T17" i="5"/>
  <c r="E75" i="5" l="1"/>
  <c r="F75" i="5" s="1"/>
  <c r="U15" i="5"/>
  <c r="U16" i="5" s="1"/>
  <c r="O15" i="5"/>
  <c r="O16" i="5" s="1"/>
  <c r="R17" i="5"/>
  <c r="L18" i="5"/>
  <c r="N17" i="5"/>
  <c r="U18" i="5"/>
  <c r="H23" i="14" s="1"/>
  <c r="L15" i="5"/>
  <c r="L16" i="5" s="1"/>
  <c r="R15" i="5"/>
  <c r="R16" i="5" s="1"/>
  <c r="V18" i="5" l="1"/>
  <c r="C93" i="4"/>
  <c r="C94" i="4" s="1"/>
  <c r="D92" i="4"/>
  <c r="D91" i="4"/>
  <c r="D90" i="4"/>
  <c r="D89" i="4"/>
  <c r="D88" i="4"/>
  <c r="V72" i="4"/>
  <c r="E71" i="4"/>
  <c r="E70" i="4"/>
  <c r="E69" i="4"/>
  <c r="E68" i="4"/>
  <c r="V67" i="4"/>
  <c r="E67" i="4"/>
  <c r="E66" i="4"/>
  <c r="E65" i="4"/>
  <c r="E63" i="4"/>
  <c r="E62" i="4"/>
  <c r="E61" i="4"/>
  <c r="E45" i="4"/>
  <c r="N69" i="4"/>
  <c r="O29" i="4"/>
  <c r="V18" i="4"/>
  <c r="V21" i="4" s="1"/>
  <c r="P18" i="4"/>
  <c r="P21" i="4" s="1"/>
  <c r="W13" i="4"/>
  <c r="W14" i="4" s="1"/>
  <c r="V13" i="4"/>
  <c r="V14" i="4" s="1"/>
  <c r="U13" i="4"/>
  <c r="U14" i="4" s="1"/>
  <c r="C79" i="4" s="1"/>
  <c r="T13" i="4"/>
  <c r="T14" i="4" s="1"/>
  <c r="S13" i="4"/>
  <c r="S14" i="4" s="1"/>
  <c r="K40" i="4" s="1"/>
  <c r="Q13" i="4"/>
  <c r="Q14" i="4" s="1"/>
  <c r="K41" i="4" s="1"/>
  <c r="P13" i="4"/>
  <c r="P14" i="4" s="1"/>
  <c r="O13" i="4"/>
  <c r="O14" i="4" s="1"/>
  <c r="N13" i="4"/>
  <c r="N14" i="4" s="1"/>
  <c r="M13" i="4"/>
  <c r="M14" i="4" s="1"/>
  <c r="K13" i="4"/>
  <c r="K14" i="4" s="1"/>
  <c r="K69" i="4"/>
  <c r="N40" i="4" l="1"/>
  <c r="N45" i="4" s="1"/>
  <c r="C80" i="4"/>
  <c r="N41" i="4"/>
  <c r="K45" i="4"/>
  <c r="L40" i="4"/>
  <c r="K46" i="4"/>
  <c r="L41" i="4"/>
  <c r="C82" i="4"/>
  <c r="C95" i="4"/>
  <c r="D94" i="4"/>
  <c r="D53" i="4"/>
  <c r="D55" i="4" s="1"/>
  <c r="C81" i="4"/>
  <c r="D48" i="4"/>
  <c r="D50" i="4" s="1"/>
  <c r="D93" i="4"/>
  <c r="O40" i="4" l="1"/>
  <c r="D54" i="4"/>
  <c r="O44" i="4" s="1"/>
  <c r="D49" i="4"/>
  <c r="L44" i="4" s="1"/>
  <c r="O41" i="4"/>
  <c r="N46" i="4"/>
  <c r="C96" i="4"/>
  <c r="D95" i="4"/>
  <c r="T70" i="4"/>
  <c r="O45" i="4" l="1"/>
  <c r="O61" i="4"/>
  <c r="K38" i="4"/>
  <c r="N39" i="4"/>
  <c r="O39" i="4" s="1"/>
  <c r="N38" i="4"/>
  <c r="O43" i="4" s="1"/>
  <c r="C97" i="4"/>
  <c r="D96" i="4"/>
  <c r="L45" i="4"/>
  <c r="K39" i="4"/>
  <c r="K44" i="4" s="1"/>
  <c r="T75" i="4"/>
  <c r="N44" i="4" l="1"/>
  <c r="O38" i="4"/>
  <c r="N43" i="4"/>
  <c r="K43" i="4"/>
  <c r="T68" i="4" s="1"/>
  <c r="N42" i="4"/>
  <c r="C98" i="4"/>
  <c r="D97" i="4"/>
  <c r="T69" i="4"/>
  <c r="L39" i="4"/>
  <c r="K42" i="4"/>
  <c r="L43" i="4"/>
  <c r="L38" i="4"/>
  <c r="T73" i="4" l="1"/>
  <c r="T67" i="4"/>
  <c r="K48" i="4"/>
  <c r="T72" i="4"/>
  <c r="N48" i="4"/>
  <c r="T74" i="4"/>
  <c r="C99" i="4"/>
  <c r="D98" i="4"/>
  <c r="U68" i="4" l="1"/>
  <c r="X68" i="4" s="1"/>
  <c r="U67" i="4"/>
  <c r="X67" i="4" s="1"/>
  <c r="U70" i="4"/>
  <c r="X70" i="4" s="1"/>
  <c r="U69" i="4"/>
  <c r="X69" i="4" s="1"/>
  <c r="U72" i="4"/>
  <c r="X72" i="4" s="1"/>
  <c r="U73" i="4"/>
  <c r="X73" i="4" s="1"/>
  <c r="U75" i="4"/>
  <c r="X75" i="4" s="1"/>
  <c r="C100" i="4"/>
  <c r="D99" i="4"/>
  <c r="U74" i="4"/>
  <c r="X74" i="4" s="1"/>
  <c r="K49" i="4" l="1"/>
  <c r="C101" i="4"/>
  <c r="D100" i="4"/>
  <c r="N49" i="4"/>
  <c r="C102" i="4" l="1"/>
  <c r="D101" i="4"/>
  <c r="C103" i="4" l="1"/>
  <c r="D102" i="4"/>
  <c r="C104" i="4" l="1"/>
  <c r="D103" i="4"/>
  <c r="C105" i="4" l="1"/>
  <c r="D104" i="4"/>
  <c r="C106" i="4" l="1"/>
  <c r="D106" i="4" s="1"/>
  <c r="D105" i="4"/>
  <c r="K52" i="3" l="1"/>
  <c r="N51" i="3"/>
  <c r="N50" i="3"/>
  <c r="K30" i="3"/>
  <c r="P27" i="3"/>
  <c r="T15" i="3"/>
  <c r="Q15" i="3"/>
  <c r="N15" i="3"/>
  <c r="K15" i="3"/>
  <c r="V12" i="3"/>
  <c r="V13" i="3" s="1"/>
  <c r="U12" i="3"/>
  <c r="U13" i="3" s="1"/>
  <c r="T12" i="3"/>
  <c r="T13" i="3" s="1"/>
  <c r="S12" i="3"/>
  <c r="S13" i="3" s="1"/>
  <c r="R12" i="3"/>
  <c r="R13" i="3" s="1"/>
  <c r="Q12" i="3"/>
  <c r="Q13" i="3" s="1"/>
  <c r="P12" i="3"/>
  <c r="P13" i="3" s="1"/>
  <c r="O12" i="3"/>
  <c r="O13" i="3" s="1"/>
  <c r="N12" i="3"/>
  <c r="N13" i="3" s="1"/>
  <c r="M12" i="3"/>
  <c r="M13" i="3" s="1"/>
  <c r="L12" i="3"/>
  <c r="L13" i="3" s="1"/>
  <c r="K12" i="3"/>
  <c r="K13" i="3" s="1"/>
  <c r="R9" i="3"/>
  <c r="O9" i="3"/>
  <c r="O55" i="3" s="1"/>
  <c r="L9" i="3"/>
  <c r="N43" i="3" l="1"/>
  <c r="N56" i="3" s="1"/>
  <c r="N44" i="3"/>
  <c r="N58" i="3" s="1"/>
  <c r="N42" i="3"/>
  <c r="N55" i="3" s="1"/>
  <c r="N45" i="3"/>
  <c r="N57" i="3" s="1"/>
  <c r="O42" i="3"/>
  <c r="O80" i="3"/>
  <c r="O89" i="3" s="1"/>
  <c r="N30" i="3"/>
  <c r="K76" i="3"/>
  <c r="N41" i="3"/>
  <c r="N54" i="3" s="1"/>
  <c r="N47" i="3"/>
  <c r="N60" i="3" s="1"/>
  <c r="N46" i="3"/>
  <c r="N59" i="3" s="1"/>
  <c r="N40" i="3"/>
  <c r="Q41" i="3"/>
  <c r="K48" i="3"/>
  <c r="K61" i="3" s="1"/>
  <c r="Q48" i="3"/>
  <c r="Q61" i="3" s="1"/>
  <c r="K40" i="3"/>
  <c r="Q30" i="3"/>
  <c r="U9" i="3"/>
  <c r="O56" i="3" l="1"/>
  <c r="O43" i="3" s="1"/>
  <c r="O45" i="3"/>
  <c r="O57" i="3"/>
  <c r="O82" i="3" s="1"/>
  <c r="O91" i="3" s="1"/>
  <c r="O40" i="3"/>
  <c r="O53" i="3"/>
  <c r="O78" i="3" s="1"/>
  <c r="O87" i="3" s="1"/>
  <c r="O47" i="3"/>
  <c r="O60" i="3"/>
  <c r="O85" i="3" s="1"/>
  <c r="O94" i="3" s="1"/>
  <c r="L61" i="3"/>
  <c r="L53" i="3"/>
  <c r="L40" i="3"/>
  <c r="Q76" i="3"/>
  <c r="R32" i="3"/>
  <c r="R54" i="3" s="1"/>
  <c r="Q49" i="3"/>
  <c r="Q54" i="3"/>
  <c r="Q70" i="3" s="1"/>
  <c r="Q73" i="3" s="1"/>
  <c r="K49" i="3"/>
  <c r="K53" i="3"/>
  <c r="N49" i="3"/>
  <c r="N53" i="3"/>
  <c r="O81" i="3" l="1"/>
  <c r="O90" i="3" s="1"/>
  <c r="O46" i="3"/>
  <c r="O59" i="3"/>
  <c r="O84" i="3" s="1"/>
  <c r="O93" i="3" s="1"/>
  <c r="O41" i="3"/>
  <c r="O54" i="3"/>
  <c r="O79" i="3" s="1"/>
  <c r="O88" i="3" s="1"/>
  <c r="O44" i="3"/>
  <c r="O58" i="3"/>
  <c r="O83" i="3" s="1"/>
  <c r="O92" i="3" s="1"/>
  <c r="R39" i="3"/>
  <c r="R61" i="3" s="1"/>
  <c r="L48" i="3"/>
  <c r="Q71" i="3"/>
  <c r="K70" i="3"/>
  <c r="K73" i="3" s="1"/>
  <c r="K62" i="3"/>
  <c r="N70" i="3"/>
  <c r="N73" i="3" s="1"/>
  <c r="K64" i="3"/>
  <c r="K65" i="3" s="1"/>
  <c r="N64" i="3"/>
  <c r="N65" i="3" s="1"/>
  <c r="N62" i="3"/>
  <c r="Q79" i="3"/>
  <c r="Q88" i="3" s="1"/>
  <c r="Q64" i="3"/>
  <c r="Q65" i="3" s="1"/>
  <c r="Q62" i="3"/>
  <c r="K71" i="3" l="1"/>
  <c r="N82" i="3"/>
  <c r="N91" i="3" s="1"/>
  <c r="N101" i="3" s="1"/>
  <c r="N72" i="3"/>
  <c r="N79" i="3"/>
  <c r="N78" i="3"/>
  <c r="V21" i="3" s="1"/>
  <c r="K78" i="3"/>
  <c r="K87" i="3" s="1"/>
  <c r="N87" i="3" l="1"/>
  <c r="N88" i="3"/>
  <c r="N83" i="3"/>
  <c r="N92" i="3" s="1"/>
  <c r="N102" i="3" s="1"/>
  <c r="K97" i="3"/>
  <c r="K86" i="3"/>
  <c r="K95" i="3" s="1"/>
  <c r="Q86" i="3"/>
  <c r="Q95" i="3" s="1"/>
  <c r="Q98" i="3"/>
  <c r="N80" i="3"/>
  <c r="N89" i="3" s="1"/>
  <c r="N81" i="3"/>
  <c r="N90" i="3" s="1"/>
  <c r="N85" i="3"/>
  <c r="N94" i="3" s="1"/>
  <c r="N84" i="3"/>
  <c r="V14" i="3" l="1"/>
  <c r="V16" i="3" s="1"/>
  <c r="V18" i="3" s="1"/>
  <c r="N98" i="3"/>
  <c r="T14" i="3"/>
  <c r="T16" i="3" s="1"/>
  <c r="Q14" i="3"/>
  <c r="Q16" i="3" s="1"/>
  <c r="Q18" i="3" s="1"/>
  <c r="K14" i="3"/>
  <c r="S14" i="3"/>
  <c r="S16" i="3" s="1"/>
  <c r="S18" i="3" s="1"/>
  <c r="N104" i="3"/>
  <c r="N93" i="3"/>
  <c r="N14" i="3" s="1"/>
  <c r="N16" i="3" s="1"/>
  <c r="N99" i="3"/>
  <c r="R14" i="3"/>
  <c r="R16" i="3" s="1"/>
  <c r="R18" i="3" s="1"/>
  <c r="N100" i="3"/>
  <c r="G20" i="14"/>
  <c r="M14" i="3"/>
  <c r="M16" i="3" s="1"/>
  <c r="M18" i="3" s="1"/>
  <c r="Q105" i="3"/>
  <c r="Q106" i="3" s="1"/>
  <c r="Q96" i="3"/>
  <c r="N97" i="3"/>
  <c r="L14" i="3"/>
  <c r="L16" i="3" s="1"/>
  <c r="L18" i="3" s="1"/>
  <c r="O14" i="3"/>
  <c r="O16" i="3" s="1"/>
  <c r="O18" i="3" s="1"/>
  <c r="U14" i="3"/>
  <c r="U16" i="3" s="1"/>
  <c r="U18" i="3" s="1"/>
  <c r="K105" i="3"/>
  <c r="K106" i="3" s="1"/>
  <c r="K96" i="3"/>
  <c r="N103" i="3" l="1"/>
  <c r="P14" i="3"/>
  <c r="P16" i="3" s="1"/>
  <c r="P18" i="3" s="1"/>
  <c r="N96" i="3"/>
  <c r="R17" i="3"/>
  <c r="N18" i="3"/>
  <c r="V22" i="3"/>
  <c r="K16" i="3"/>
  <c r="T18" i="3"/>
  <c r="U17" i="3"/>
  <c r="O17" i="3" l="1"/>
  <c r="K21" i="3"/>
  <c r="H20" i="14" s="1"/>
  <c r="K18" i="3"/>
  <c r="U20" i="3"/>
  <c r="L17" i="3"/>
  <c r="V20" i="3" l="1"/>
  <c r="P31" i="1" l="1"/>
  <c r="Q54" i="1" l="1"/>
  <c r="N52" i="1"/>
  <c r="K54" i="1"/>
  <c r="D46" i="1" l="1"/>
  <c r="D45" i="1"/>
  <c r="D44" i="1"/>
  <c r="D43" i="1"/>
  <c r="T53" i="1" l="1"/>
  <c r="T54" i="1"/>
  <c r="K34" i="1"/>
  <c r="L8" i="1"/>
  <c r="O8" i="1"/>
  <c r="T34" i="1" s="1"/>
  <c r="R8" i="1"/>
  <c r="Q34" i="1" s="1"/>
  <c r="N14" i="1"/>
  <c r="O14" i="1" s="1"/>
  <c r="N54" i="1"/>
  <c r="N53" i="1"/>
  <c r="L11" i="1"/>
  <c r="L12" i="1" s="1"/>
  <c r="M11" i="1"/>
  <c r="M12" i="1" s="1"/>
  <c r="N11" i="1"/>
  <c r="N12" i="1" s="1"/>
  <c r="O11" i="1"/>
  <c r="O12" i="1" s="1"/>
  <c r="P11" i="1"/>
  <c r="P12" i="1" s="1"/>
  <c r="Q11" i="1"/>
  <c r="Q12" i="1" s="1"/>
  <c r="R11" i="1"/>
  <c r="R12" i="1" s="1"/>
  <c r="S11" i="1"/>
  <c r="S12" i="1" s="1"/>
  <c r="T11" i="1"/>
  <c r="T12" i="1" s="1"/>
  <c r="U11" i="1"/>
  <c r="U12" i="1" s="1"/>
  <c r="V11" i="1"/>
  <c r="V12" i="1" s="1"/>
  <c r="K11" i="1"/>
  <c r="K12" i="1" s="1"/>
  <c r="T47" i="1" l="1"/>
  <c r="R62" i="1"/>
  <c r="R70" i="1" s="1"/>
  <c r="U62" i="1"/>
  <c r="U70" i="1" s="1"/>
  <c r="O60" i="1"/>
  <c r="O68" i="1" s="1"/>
  <c r="U61" i="1"/>
  <c r="U69" i="1" s="1"/>
  <c r="U59" i="1"/>
  <c r="U67" i="1" s="1"/>
  <c r="R59" i="1"/>
  <c r="R67" i="1" s="1"/>
  <c r="U60" i="1"/>
  <c r="U68" i="1" s="1"/>
  <c r="Q47" i="1"/>
  <c r="O61" i="1"/>
  <c r="O69" i="1" s="1"/>
  <c r="O59" i="1"/>
  <c r="O67" i="1" s="1"/>
  <c r="K47" i="1"/>
  <c r="L59" i="1"/>
  <c r="L67" i="1" s="1"/>
  <c r="T42" i="1"/>
  <c r="Q42" i="1"/>
  <c r="N42" i="1"/>
  <c r="N40" i="1"/>
  <c r="K39" i="1"/>
  <c r="Q39" i="1"/>
  <c r="T40" i="1"/>
  <c r="K42" i="1"/>
  <c r="N41" i="1"/>
  <c r="T41" i="1"/>
  <c r="N39" i="1"/>
  <c r="T39" i="1"/>
  <c r="N34" i="1"/>
  <c r="O62" i="1" s="1"/>
  <c r="O70" i="1" s="1"/>
  <c r="T14" i="1"/>
  <c r="U14" i="1" s="1"/>
  <c r="T43" i="1" l="1"/>
  <c r="T48" i="1" s="1"/>
  <c r="N43" i="1"/>
  <c r="N48" i="1" s="1"/>
  <c r="N47" i="1"/>
  <c r="L62" i="1"/>
  <c r="L70" i="1" s="1"/>
  <c r="N55" i="1"/>
  <c r="N63" i="1" s="1"/>
  <c r="T55" i="1"/>
  <c r="T63" i="1" s="1"/>
  <c r="Q43" i="1"/>
  <c r="R43" i="1" s="1"/>
  <c r="O39" i="1"/>
  <c r="Q55" i="1"/>
  <c r="K55" i="1"/>
  <c r="K63" i="1" s="1"/>
  <c r="K43" i="1"/>
  <c r="K48" i="1" s="1"/>
  <c r="U41" i="1"/>
  <c r="U40" i="1"/>
  <c r="O41" i="1"/>
  <c r="R39" i="1"/>
  <c r="O42" i="1"/>
  <c r="L39" i="1"/>
  <c r="L42" i="1"/>
  <c r="O40" i="1"/>
  <c r="U39" i="1"/>
  <c r="U42" i="1"/>
  <c r="R42" i="1"/>
  <c r="Q59" i="1" l="1"/>
  <c r="Q63" i="1"/>
  <c r="T59" i="1"/>
  <c r="T67" i="1" s="1"/>
  <c r="N59" i="1"/>
  <c r="N67" i="1" s="1"/>
  <c r="Q48" i="1"/>
  <c r="U43" i="1"/>
  <c r="O43" i="1"/>
  <c r="Q58" i="1"/>
  <c r="T56" i="1"/>
  <c r="N56" i="1"/>
  <c r="Q67" i="1" l="1"/>
  <c r="Q72" i="1" s="1"/>
  <c r="K59" i="1"/>
  <c r="K58" i="1"/>
  <c r="N60" i="1"/>
  <c r="N68" i="1" s="1"/>
  <c r="Q62" i="1"/>
  <c r="N72" i="1" s="1"/>
  <c r="O72" i="1" s="1"/>
  <c r="T60" i="1"/>
  <c r="T68" i="1" s="1"/>
  <c r="N49" i="1"/>
  <c r="Q49" i="1" s="1"/>
  <c r="K67" i="1" l="1"/>
  <c r="K72" i="1" s="1"/>
  <c r="N73" i="1"/>
  <c r="O73" i="1" s="1"/>
  <c r="T73" i="1"/>
  <c r="U73" i="1" s="1"/>
  <c r="K62" i="1"/>
  <c r="T72" i="1" s="1"/>
  <c r="U72" i="1" s="1"/>
  <c r="T58" i="1"/>
  <c r="T57" i="1"/>
  <c r="T65" i="1" s="1"/>
  <c r="R22" i="1"/>
  <c r="T61" i="1" l="1"/>
  <c r="T69" i="1" s="1"/>
  <c r="T74" i="1" s="1"/>
  <c r="T62" i="1"/>
  <c r="C71" i="1" s="1"/>
  <c r="D71" i="1" s="1"/>
  <c r="Q70" i="1" s="1"/>
  <c r="Q22" i="1"/>
  <c r="T70" i="1" l="1"/>
  <c r="T75" i="1" s="1"/>
  <c r="U75" i="1" s="1"/>
  <c r="U74" i="1"/>
  <c r="Q13" i="1"/>
  <c r="Q15" i="1" s="1"/>
  <c r="Q17" i="1" s="1"/>
  <c r="V22" i="1"/>
  <c r="T22" i="1"/>
  <c r="V13" i="1" l="1"/>
  <c r="V15" i="1" s="1"/>
  <c r="V17" i="1" s="1"/>
  <c r="N57" i="1"/>
  <c r="N65" i="1" s="1"/>
  <c r="N61" i="1" l="1"/>
  <c r="N58" i="1"/>
  <c r="N62" i="1" l="1"/>
  <c r="C70" i="1" s="1"/>
  <c r="D70" i="1" s="1"/>
  <c r="K70" i="1" s="1"/>
  <c r="S22" i="1"/>
  <c r="U22" i="1"/>
  <c r="N69" i="1" l="1"/>
  <c r="N74" i="1" s="1"/>
  <c r="O74" i="1" s="1"/>
  <c r="N70" i="1"/>
  <c r="N75" i="1" s="1"/>
  <c r="O75" i="1" s="1"/>
  <c r="K75" i="1"/>
  <c r="L75" i="1" s="1"/>
  <c r="P22" i="1"/>
  <c r="R13" i="1"/>
  <c r="R15" i="1" s="1"/>
  <c r="R17" i="1" s="1"/>
  <c r="P13" i="1" l="1"/>
  <c r="P15" i="1" s="1"/>
  <c r="P17" i="1" s="1"/>
  <c r="S13" i="1"/>
  <c r="S15" i="1" s="1"/>
  <c r="S17" i="1" s="1"/>
  <c r="N71" i="1"/>
  <c r="R16" i="1" l="1"/>
  <c r="T71" i="1"/>
  <c r="K49" i="1" l="1"/>
  <c r="T49" i="1" s="1"/>
  <c r="L43" i="1"/>
  <c r="O22" i="1" l="1"/>
  <c r="N22" i="1"/>
  <c r="K22" i="1" l="1"/>
  <c r="L22" i="1"/>
  <c r="M22" i="1"/>
  <c r="N13" i="1"/>
  <c r="N15" i="1" s="1"/>
  <c r="O13" i="1"/>
  <c r="O15" i="1" s="1"/>
  <c r="O17" i="1" s="1"/>
  <c r="G19" i="14" l="1"/>
  <c r="O16" i="1"/>
  <c r="N17" i="1"/>
  <c r="K71" i="1"/>
  <c r="M13" i="1"/>
  <c r="M15" i="1" s="1"/>
  <c r="M17" i="1" s="1"/>
  <c r="K13" i="1"/>
  <c r="L13" i="1"/>
  <c r="L15" i="1" s="1"/>
  <c r="L17" i="1" s="1"/>
  <c r="K15" i="1" l="1"/>
  <c r="L16" i="1" l="1"/>
  <c r="K17" i="1"/>
  <c r="M51" i="8" l="1"/>
  <c r="N51" i="8" s="1"/>
  <c r="M60" i="8"/>
  <c r="M66" i="8" s="1"/>
  <c r="M74" i="8" l="1"/>
  <c r="M67" i="8"/>
  <c r="J68" i="8" s="1"/>
  <c r="M64" i="8"/>
  <c r="M82" i="8" l="1"/>
  <c r="M78" i="8"/>
  <c r="M83" i="8"/>
  <c r="P68" i="8"/>
  <c r="M68" i="8"/>
  <c r="M76" i="8"/>
  <c r="M92" i="8" l="1"/>
  <c r="M102" i="8" s="1"/>
  <c r="M91" i="8"/>
  <c r="M101" i="8" s="1"/>
  <c r="M84" i="8"/>
  <c r="M93" i="8" s="1"/>
  <c r="M103" i="8" s="1"/>
  <c r="M86" i="8"/>
  <c r="M95" i="8" s="1"/>
  <c r="M105" i="8" s="1"/>
  <c r="U21" i="8"/>
  <c r="M77" i="8"/>
  <c r="M88" i="8"/>
  <c r="M97" i="8" s="1"/>
  <c r="M107" i="8" s="1"/>
  <c r="Q14" i="8" l="1"/>
  <c r="Q16" i="8" s="1"/>
  <c r="Q18" i="8" s="1"/>
  <c r="M87" i="8"/>
  <c r="M96" i="8" s="1"/>
  <c r="M106" i="8" s="1"/>
  <c r="M85" i="8"/>
  <c r="M94" i="8" s="1"/>
  <c r="N14" i="8"/>
  <c r="N16" i="8" s="1"/>
  <c r="N18" i="8" s="1"/>
  <c r="M14" i="8"/>
  <c r="M16" i="8" s="1"/>
  <c r="N85" i="8"/>
  <c r="M89" i="8"/>
  <c r="M98" i="8" s="1"/>
  <c r="M108" i="8" s="1"/>
  <c r="O14" i="8"/>
  <c r="O16" i="8"/>
  <c r="O18" i="8" s="1"/>
  <c r="L14" i="8"/>
  <c r="L16" i="8" s="1"/>
  <c r="L18" i="8" s="1"/>
  <c r="K14" i="8"/>
  <c r="K16" i="8" s="1"/>
  <c r="K18" i="8" s="1"/>
  <c r="P14" i="8" l="1"/>
  <c r="P16" i="8" s="1"/>
  <c r="P18" i="8" s="1"/>
  <c r="R14" i="8"/>
  <c r="R16" i="8" s="1"/>
  <c r="R18" i="8" s="1"/>
  <c r="J14" i="8"/>
  <c r="J16" i="8" s="1"/>
  <c r="M104" i="8"/>
  <c r="U14" i="8"/>
  <c r="U16" i="8" s="1"/>
  <c r="U18" i="8" s="1"/>
  <c r="G21" i="14"/>
  <c r="T16" i="8"/>
  <c r="T18" i="8" s="1"/>
  <c r="T14" i="8"/>
  <c r="S14" i="8"/>
  <c r="S16" i="8" s="1"/>
  <c r="M18" i="8"/>
  <c r="N17" i="8"/>
  <c r="M100" i="8"/>
  <c r="Q17" i="8" l="1"/>
  <c r="M20" i="8"/>
  <c r="J18" i="8"/>
  <c r="T20" i="8"/>
  <c r="U20" i="8" s="1"/>
  <c r="K17" i="8"/>
  <c r="S18" i="8"/>
  <c r="T17" i="8"/>
  <c r="H21" i="14" l="1"/>
  <c r="K82" i="6" l="1"/>
  <c r="K100" i="6" l="1"/>
  <c r="K112" i="6" s="1"/>
  <c r="K84" i="6"/>
  <c r="K102" i="6" s="1"/>
  <c r="K83" i="6"/>
  <c r="K101" i="6" s="1"/>
  <c r="L14" i="6" l="1"/>
  <c r="L16" i="6" s="1"/>
  <c r="L18" i="6" s="1"/>
  <c r="K114" i="6"/>
  <c r="K87" i="6"/>
  <c r="K88" i="6"/>
  <c r="P14" i="6"/>
  <c r="P16" i="6" s="1"/>
  <c r="P18" i="6" s="1"/>
  <c r="K113" i="6"/>
  <c r="K106" i="6" l="1"/>
  <c r="K118" i="6" s="1"/>
  <c r="K105" i="6"/>
  <c r="K117" i="6" s="1"/>
  <c r="K109" i="6" l="1"/>
  <c r="N55" i="4"/>
  <c r="N66" i="4" s="1"/>
  <c r="N57" i="4" l="1"/>
  <c r="N61" i="4"/>
  <c r="O60" i="4"/>
  <c r="N60" i="4"/>
  <c r="N70" i="4" s="1"/>
  <c r="N71" i="4" l="1"/>
  <c r="N63" i="4"/>
  <c r="N73" i="4" s="1"/>
  <c r="O63" i="4"/>
  <c r="N76" i="4"/>
  <c r="T16" i="4"/>
  <c r="T18" i="4" s="1"/>
  <c r="T21" i="4" s="1"/>
  <c r="M16" i="4" l="1"/>
  <c r="M18" i="4" s="1"/>
  <c r="M21" i="4" s="1"/>
  <c r="N79" i="4"/>
  <c r="K55" i="4" l="1"/>
  <c r="K66" i="4" s="1"/>
  <c r="N56" i="4"/>
  <c r="N62" i="4" l="1"/>
  <c r="D81" i="4" s="1"/>
  <c r="N58" i="4"/>
  <c r="K60" i="4"/>
  <c r="K70" i="4" s="1"/>
  <c r="K57" i="4"/>
  <c r="O62" i="4"/>
  <c r="K61" i="4"/>
  <c r="K71" i="4" s="1"/>
  <c r="L60" i="4"/>
  <c r="L61" i="4"/>
  <c r="N16" i="4" l="1"/>
  <c r="N18" i="4" s="1"/>
  <c r="N21" i="4" s="1"/>
  <c r="L63" i="4"/>
  <c r="K63" i="4"/>
  <c r="N64" i="4"/>
  <c r="D80" i="4" s="1"/>
  <c r="O64" i="4"/>
  <c r="K76" i="4" l="1"/>
  <c r="N74" i="4"/>
  <c r="K73" i="4"/>
  <c r="N80" i="4" l="1"/>
  <c r="S16" i="4"/>
  <c r="S18" i="4" s="1"/>
  <c r="K79" i="4"/>
  <c r="S21" i="4" l="1"/>
  <c r="H22" i="14" l="1"/>
  <c r="K80" i="16"/>
  <c r="K88" i="16" l="1"/>
  <c r="K105" i="16" s="1"/>
  <c r="K117" i="16" l="1"/>
  <c r="K82" i="18" l="1"/>
  <c r="K90" i="18" l="1"/>
  <c r="K107" i="18" s="1"/>
  <c r="K119" i="18" l="1"/>
  <c r="Q87" i="6" l="1"/>
  <c r="Q105" i="6" l="1"/>
  <c r="Q117" i="6" s="1"/>
  <c r="Q114" i="17"/>
  <c r="Q83" i="17"/>
  <c r="Q82" i="17"/>
  <c r="Q99" i="17" s="1"/>
  <c r="Q100" i="17" l="1"/>
  <c r="Q112" i="17" s="1"/>
  <c r="T14" i="6"/>
  <c r="T16" i="6" s="1"/>
  <c r="T18" i="6" s="1"/>
  <c r="G26" i="14"/>
  <c r="U14" i="17" l="1"/>
  <c r="U16" i="17" s="1"/>
  <c r="U18" i="17" s="1"/>
  <c r="O14" i="17"/>
  <c r="P14" i="17"/>
  <c r="P16" i="17" s="1"/>
  <c r="P18" i="17" s="1"/>
  <c r="Q111" i="17"/>
  <c r="Q108" i="17"/>
  <c r="U17" i="17" l="1"/>
  <c r="O16" i="17"/>
  <c r="N19" i="17"/>
  <c r="O18" i="17" l="1"/>
  <c r="U19" i="17"/>
  <c r="V19" i="17" s="1"/>
  <c r="O17" i="17"/>
  <c r="O19" i="17"/>
  <c r="S69" i="17"/>
  <c r="H26" i="14"/>
  <c r="Q80" i="16" l="1"/>
  <c r="Q88" i="16" l="1"/>
  <c r="Q105" i="16" l="1"/>
  <c r="Q14" i="16" s="1"/>
  <c r="Q16" i="16" s="1"/>
  <c r="Q18" i="16" s="1"/>
  <c r="Q117" i="16" l="1"/>
  <c r="V21" i="16" s="1"/>
  <c r="Q74" i="16" l="1"/>
  <c r="Q79" i="16"/>
  <c r="Q87" i="16" s="1"/>
  <c r="Q104" i="16" s="1"/>
  <c r="Q71" i="1"/>
  <c r="Q75" i="1"/>
  <c r="R75" i="1" s="1"/>
  <c r="U13" i="1"/>
  <c r="U15" i="1" s="1"/>
  <c r="U17" i="1" s="1"/>
  <c r="T13" i="1"/>
  <c r="T15" i="1" s="1"/>
  <c r="Q75" i="16" l="1"/>
  <c r="Q83" i="16" s="1"/>
  <c r="Q100" i="16" s="1"/>
  <c r="T14" i="16"/>
  <c r="T16" i="16" s="1"/>
  <c r="Q116" i="16"/>
  <c r="Q82" i="16"/>
  <c r="Q99" i="16" s="1"/>
  <c r="Q76" i="16"/>
  <c r="Q84" i="16" s="1"/>
  <c r="Q101" i="16" s="1"/>
  <c r="U16" i="1"/>
  <c r="T17" i="1"/>
  <c r="U18" i="1"/>
  <c r="V18" i="1" s="1"/>
  <c r="O18" i="1"/>
  <c r="U20" i="1"/>
  <c r="Q112" i="16" l="1"/>
  <c r="V14" i="16"/>
  <c r="V16" i="16" s="1"/>
  <c r="V18" i="16" s="1"/>
  <c r="R14" i="16"/>
  <c r="R16" i="16" s="1"/>
  <c r="U14" i="16"/>
  <c r="U16" i="16" s="1"/>
  <c r="U18" i="16" s="1"/>
  <c r="N14" i="16"/>
  <c r="N16" i="16" s="1"/>
  <c r="N18" i="16" s="1"/>
  <c r="Q113" i="16"/>
  <c r="O14" i="16"/>
  <c r="O16" i="16" s="1"/>
  <c r="O18" i="16" s="1"/>
  <c r="Q108" i="16"/>
  <c r="Q111" i="16"/>
  <c r="M14" i="16"/>
  <c r="M16" i="16" s="1"/>
  <c r="M18" i="16" s="1"/>
  <c r="T18" i="16"/>
  <c r="U17" i="16"/>
  <c r="P18" i="1"/>
  <c r="H19" i="14"/>
  <c r="R17" i="16" l="1"/>
  <c r="R18" i="16"/>
  <c r="Q74" i="6"/>
  <c r="Q90" i="6" s="1"/>
  <c r="Q83" i="6"/>
  <c r="Q101" i="6" s="1"/>
  <c r="Q81" i="6" l="1"/>
  <c r="Q89" i="6" s="1"/>
  <c r="R14" i="6"/>
  <c r="R16" i="6" s="1"/>
  <c r="R18" i="6" s="1"/>
  <c r="U14" i="6"/>
  <c r="U16" i="6" s="1"/>
  <c r="V14" i="6"/>
  <c r="V16" i="6" s="1"/>
  <c r="V18" i="6" s="1"/>
  <c r="Q113" i="6"/>
  <c r="Q82" i="6"/>
  <c r="Q100" i="6" l="1"/>
  <c r="Q112" i="6" s="1"/>
  <c r="Q80" i="6"/>
  <c r="Q76" i="6" s="1"/>
  <c r="Q107" i="6"/>
  <c r="K14" i="6" s="1"/>
  <c r="K16" i="6" s="1"/>
  <c r="K18" i="6" s="1"/>
  <c r="U18" i="6"/>
  <c r="U17" i="6"/>
  <c r="Q84" i="6" l="1"/>
  <c r="Q92" i="6"/>
  <c r="Q88" i="6"/>
  <c r="Q119" i="6"/>
  <c r="O14" i="6"/>
  <c r="O16" i="6" s="1"/>
  <c r="O18" i="6" s="1"/>
  <c r="G24" i="14" l="1"/>
  <c r="Q102" i="6"/>
  <c r="Q114" i="6" s="1"/>
  <c r="Q106" i="6"/>
  <c r="N14" i="6" l="1"/>
  <c r="N16" i="6" s="1"/>
  <c r="N18" i="6" s="1"/>
  <c r="Q14" i="6"/>
  <c r="Q16" i="6" s="1"/>
  <c r="Q109" i="6"/>
  <c r="M14" i="6"/>
  <c r="Q118" i="6"/>
  <c r="V21" i="6" s="1"/>
  <c r="O17" i="6" l="1"/>
  <c r="M16" i="6"/>
  <c r="N19" i="6"/>
  <c r="R17" i="6"/>
  <c r="Q18" i="6"/>
  <c r="H24" i="14" l="1"/>
  <c r="O19" i="6"/>
  <c r="S65" i="6"/>
  <c r="U19" i="6"/>
  <c r="V19" i="6" s="1"/>
  <c r="L17" i="6"/>
  <c r="M18" i="6"/>
  <c r="Q87" i="18" l="1"/>
  <c r="Q104" i="18" s="1"/>
  <c r="Q82" i="18" l="1"/>
  <c r="Q90" i="18" l="1"/>
  <c r="Q116" i="18" s="1"/>
  <c r="Q107" i="18" l="1"/>
  <c r="Q119" i="18" s="1"/>
  <c r="H27" i="14" l="1"/>
  <c r="K56" i="4" l="1"/>
  <c r="K58" i="4" s="1"/>
  <c r="L62" i="4" l="1"/>
  <c r="L64" i="4"/>
  <c r="K64" i="4"/>
  <c r="D82" i="4" s="1"/>
  <c r="E82" i="4" s="1"/>
  <c r="F82" i="4" s="1"/>
  <c r="N72" i="4" s="1"/>
  <c r="K62" i="4"/>
  <c r="G22" i="14" l="1"/>
  <c r="D79" i="4"/>
  <c r="E80" i="4" s="1"/>
  <c r="F80" i="4" s="1"/>
  <c r="K72" i="4" s="1"/>
  <c r="N78" i="4"/>
  <c r="O78" i="4" s="1"/>
  <c r="N75" i="4"/>
  <c r="O16" i="4"/>
  <c r="O18" i="4" s="1"/>
  <c r="K74" i="4"/>
  <c r="Q16" i="4" l="1"/>
  <c r="Q18" i="4" s="1"/>
  <c r="K80" i="4"/>
  <c r="O21" i="4"/>
  <c r="O19" i="4"/>
  <c r="K78" i="4"/>
  <c r="K75" i="4"/>
  <c r="U16" i="4"/>
  <c r="U18" i="4" s="1"/>
  <c r="K16" i="4"/>
  <c r="K18" i="4" s="1"/>
  <c r="U23" i="4" l="1"/>
  <c r="L78" i="4"/>
  <c r="L19" i="4"/>
  <c r="K21" i="4"/>
  <c r="U22" i="4"/>
  <c r="V22" i="4" s="1"/>
  <c r="U19" i="4"/>
  <c r="U21" i="4"/>
  <c r="R19" i="4"/>
  <c r="Q21" i="4"/>
  <c r="H25" i="14" l="1"/>
  <c r="K75" i="16" l="1"/>
  <c r="K74" i="16" s="1"/>
  <c r="K82" i="16" s="1"/>
  <c r="K78" i="16"/>
  <c r="K86" i="16" s="1"/>
  <c r="K103" i="16" s="1"/>
  <c r="K115" i="16" s="1"/>
  <c r="K99" i="16" l="1"/>
  <c r="K111" i="16" s="1"/>
  <c r="K91" i="16"/>
  <c r="K83" i="16"/>
  <c r="K77" i="16"/>
  <c r="K100" i="16" l="1"/>
  <c r="P14" i="16" s="1"/>
  <c r="P16" i="16" s="1"/>
  <c r="L14" i="16"/>
  <c r="L16" i="16" s="1"/>
  <c r="K93" i="16"/>
  <c r="K85" i="16"/>
  <c r="N19" i="16"/>
  <c r="K112" i="16" l="1"/>
  <c r="P18" i="16"/>
  <c r="O17" i="16"/>
  <c r="K102" i="16"/>
  <c r="G25" i="14"/>
  <c r="S71" i="16"/>
  <c r="O19" i="16"/>
  <c r="L18" i="16"/>
  <c r="U19" i="16"/>
  <c r="V19" i="16" s="1"/>
  <c r="L17" i="16"/>
  <c r="K114" i="16" l="1"/>
  <c r="K108" i="16"/>
  <c r="Q75" i="18"/>
  <c r="Q76" i="18" s="1"/>
  <c r="Q84" i="18" s="1"/>
  <c r="Q101" i="18" l="1"/>
  <c r="Q113" i="18" s="1"/>
  <c r="Q83" i="18"/>
  <c r="Q100" i="18" s="1"/>
  <c r="Q81" i="18"/>
  <c r="U14" i="18" l="1"/>
  <c r="U17" i="18" s="1"/>
  <c r="U19" i="18" s="1"/>
  <c r="Q112" i="18"/>
  <c r="O14" i="18"/>
  <c r="O17" i="18" s="1"/>
  <c r="O19" i="18" s="1"/>
  <c r="M14" i="18"/>
  <c r="M17" i="18" s="1"/>
  <c r="M19" i="18" s="1"/>
  <c r="Q89" i="18"/>
  <c r="Q106" i="18" s="1"/>
  <c r="Q78" i="18"/>
  <c r="Q86" i="18" s="1"/>
  <c r="Q103" i="18" s="1"/>
  <c r="V14" i="18" s="1"/>
  <c r="V17" i="18" s="1"/>
  <c r="V19" i="18" s="1"/>
  <c r="Q109" i="18" l="1"/>
  <c r="Q118" i="18"/>
  <c r="Q115" i="18"/>
  <c r="K76" i="18" l="1"/>
  <c r="K84" i="18" s="1"/>
  <c r="K101" i="18" s="1"/>
  <c r="K113" i="18" s="1"/>
  <c r="K75" i="18"/>
  <c r="K91" i="18" s="1"/>
  <c r="K81" i="18" l="1"/>
  <c r="K77" i="18" s="1"/>
  <c r="K93" i="18" s="1"/>
  <c r="K102" i="18" s="1"/>
  <c r="K114" i="18" s="1"/>
  <c r="K83" i="18"/>
  <c r="K100" i="18" s="1"/>
  <c r="K80" i="18"/>
  <c r="K88" i="18" s="1"/>
  <c r="K85" i="18"/>
  <c r="S14" i="18"/>
  <c r="S17" i="18" s="1"/>
  <c r="S19" i="18" s="1"/>
  <c r="R14" i="18"/>
  <c r="R17" i="18" s="1"/>
  <c r="R19" i="18" s="1"/>
  <c r="K89" i="18" l="1"/>
  <c r="K106" i="18" s="1"/>
  <c r="N14" i="18" s="1"/>
  <c r="N17" i="18" s="1"/>
  <c r="N19" i="18" s="1"/>
  <c r="K105" i="18"/>
  <c r="K117" i="18" s="1"/>
  <c r="L14" i="18"/>
  <c r="L17" i="18" s="1"/>
  <c r="L19" i="18" s="1"/>
  <c r="K112" i="18"/>
  <c r="G27" i="14"/>
  <c r="K14" i="18"/>
  <c r="N20" i="18" s="1"/>
  <c r="O20" i="18" s="1"/>
  <c r="K109" i="18"/>
  <c r="K118" i="18" l="1"/>
  <c r="V22" i="18" s="1"/>
  <c r="T14" i="18"/>
  <c r="T17" i="18" s="1"/>
  <c r="T19" i="18" s="1"/>
  <c r="O18" i="18"/>
  <c r="K17" i="18"/>
  <c r="L18" i="18" s="1"/>
  <c r="Q14" i="18"/>
  <c r="Q17" i="18" s="1"/>
  <c r="R18" i="18" s="1"/>
  <c r="U18" i="18" l="1"/>
  <c r="U20" i="18"/>
  <c r="V20" i="18" s="1"/>
  <c r="K19" i="18"/>
  <c r="Q19" i="18"/>
</calcChain>
</file>

<file path=xl/sharedStrings.xml><?xml version="1.0" encoding="utf-8"?>
<sst xmlns="http://schemas.openxmlformats.org/spreadsheetml/2006/main" count="2995" uniqueCount="1388">
  <si>
    <t>GLOBAL INPUTS</t>
  </si>
  <si>
    <t>PHF=</t>
  </si>
  <si>
    <t>%</t>
  </si>
  <si>
    <t>ft</t>
  </si>
  <si>
    <t>sec</t>
  </si>
  <si>
    <t xml:space="preserve">ORIGIN DESTINATION DEMAND VOLUMES </t>
  </si>
  <si>
    <t>ORIGIN</t>
  </si>
  <si>
    <t>DESTINATON</t>
  </si>
  <si>
    <t>MOVEMENT</t>
  </si>
  <si>
    <t>L</t>
  </si>
  <si>
    <t>T</t>
  </si>
  <si>
    <t>R</t>
  </si>
  <si>
    <t>INTERSECTION 2</t>
  </si>
  <si>
    <t>INTERSECTION 4</t>
  </si>
  <si>
    <t>INTERSECTION 6</t>
  </si>
  <si>
    <t>INTERSECTION 8</t>
  </si>
  <si>
    <t>A</t>
  </si>
  <si>
    <t>B</t>
  </si>
  <si>
    <t>C</t>
  </si>
  <si>
    <t>D</t>
  </si>
  <si>
    <t>E</t>
  </si>
  <si>
    <t>F</t>
  </si>
  <si>
    <t>Thru-2</t>
  </si>
  <si>
    <t>Thru-3</t>
  </si>
  <si>
    <t>LT-3</t>
  </si>
  <si>
    <t>LT-2</t>
  </si>
  <si>
    <t>MAJOR LEFT LANES</t>
  </si>
  <si>
    <t xml:space="preserve">MAIN THROUGH GREEN </t>
  </si>
  <si>
    <t>MAIN LEFT GREEN</t>
  </si>
  <si>
    <t xml:space="preserve">MAIN RIGHT GREEN  </t>
  </si>
  <si>
    <t xml:space="preserve">MINOR RT/U-TURN GREEN </t>
  </si>
  <si>
    <t>ADJUSTED FOR PHF</t>
  </si>
  <si>
    <t>MAJOR RIGHT VOL</t>
  </si>
  <si>
    <t>MAJOR LEFT VOL</t>
  </si>
  <si>
    <t>SIGNAL PLANNING MODULE</t>
  </si>
  <si>
    <t>OPTIMAL LOCAL CYCLE</t>
  </si>
  <si>
    <t>MAJOR LEFT DELAY</t>
  </si>
  <si>
    <t>MAJOR RIGHT DELAY</t>
  </si>
  <si>
    <t>MINOR RT/U-TURN DELAY</t>
  </si>
  <si>
    <t>MAJOR THROUGH DELAY</t>
  </si>
  <si>
    <t xml:space="preserve"> SYSTEM ETT AND RESULTING LOS</t>
  </si>
  <si>
    <t>CARDINAL DIRECTION</t>
  </si>
  <si>
    <t>MAJOR THROUGH GREEN</t>
  </si>
  <si>
    <t>MAJOR LEFT GREEN</t>
  </si>
  <si>
    <t>MINOR RT/U-TURN GREEN</t>
  </si>
  <si>
    <t>CAPACITY  CHECKING  (SUM CLV)</t>
  </si>
  <si>
    <t xml:space="preserve">MAXIMUM CRITICAL LANE VOLUME IS* </t>
  </si>
  <si>
    <t>MAJOR LEFT V/C</t>
  </si>
  <si>
    <t>MINOR RT/U-TURN V/C</t>
  </si>
  <si>
    <t>MAJOR THROUGH V/C</t>
  </si>
  <si>
    <t>SIMPLIFYING ASSUMPTIONS AND DEFAULTS</t>
  </si>
  <si>
    <t>LUF default depends on number of lanes,  and movement</t>
  </si>
  <si>
    <t>RECOMMENDED CYCLE LENGTHS</t>
  </si>
  <si>
    <t>MAJOR LEFT 95TH QUEUE</t>
  </si>
  <si>
    <t>MAJOR RIGHT 95TH QUEUE</t>
  </si>
  <si>
    <t>MINOR RT/U-TURN 95TH QUEUE</t>
  </si>
  <si>
    <t>MAJOR THROUGH 95TH QUEUE</t>
  </si>
  <si>
    <t>"+" ADJUSTED FOR HEAVY VEHICLES</t>
  </si>
  <si>
    <t>MAJOR RIGHT V/C</t>
  </si>
  <si>
    <t>MAJOR RIGHT GREEN</t>
  </si>
  <si>
    <t>INTERSECTION ANALYSIS</t>
  </si>
  <si>
    <t>Base saturation flow rate per lane</t>
  </si>
  <si>
    <t>MAJOR THROUGH PF</t>
  </si>
  <si>
    <t>MAJOR LEFT PF</t>
  </si>
  <si>
    <t>RT/U-TURN PF</t>
  </si>
  <si>
    <t>MAJOR RIGHT PF</t>
  </si>
  <si>
    <r>
      <t>Any  LTs or UT Q</t>
    </r>
    <r>
      <rPr>
        <b/>
        <sz val="11"/>
        <color theme="1"/>
        <rFont val="Calibri"/>
        <family val="2"/>
        <scheme val="minor"/>
      </rPr>
      <t>95</t>
    </r>
    <r>
      <rPr>
        <b/>
        <sz val="14"/>
        <color theme="1"/>
        <rFont val="Calibri"/>
        <family val="2"/>
        <scheme val="minor"/>
      </rPr>
      <t xml:space="preserve">  Exceed Storage</t>
    </r>
  </si>
  <si>
    <t>WEIGHTED INTERSECTION DELAY</t>
  </si>
  <si>
    <t>M</t>
  </si>
  <si>
    <t>N</t>
  </si>
  <si>
    <t>H</t>
  </si>
  <si>
    <t>V</t>
  </si>
  <si>
    <t>LOS</t>
  </si>
  <si>
    <t>LOWER ETT BOUND  (S)</t>
  </si>
  <si>
    <t>E(LU)</t>
  </si>
  <si>
    <t>for major thrus and lts</t>
  </si>
  <si>
    <t>AVERAGE CONTROL DELAY</t>
  </si>
  <si>
    <t>Lost time default is 5 seconds per phase</t>
  </si>
  <si>
    <t>LEVEL OF SERVICE THRESHOLDS</t>
  </si>
  <si>
    <t>Xu</t>
  </si>
  <si>
    <t>I</t>
  </si>
  <si>
    <t>84-82</t>
  </si>
  <si>
    <t>Mov.</t>
  </si>
  <si>
    <t>46-48</t>
  </si>
  <si>
    <t xml:space="preserve">MUST  ALWAYS ENTER A  CYCLE LENGTH  !! </t>
  </si>
  <si>
    <t>cycle queue (per HCM PPEAG)</t>
  </si>
  <si>
    <t>FT</t>
  </si>
  <si>
    <t>MAJOR THROUGH LANES (include shared RT)</t>
  </si>
  <si>
    <t>HCM EXHIBIT 23-13</t>
  </si>
  <si>
    <t>MOVEMENT BASED MODULE</t>
  </si>
  <si>
    <t>Pedestrian Volume Level (None,Low,M,High,V)</t>
  </si>
  <si>
    <t>ADJUSTED FOR GROWTH FACTOR</t>
  </si>
  <si>
    <t>Parking Allowed on Minor Rd ? (Y / N)</t>
  </si>
  <si>
    <t>LOS BASED ON ETT</t>
  </si>
  <si>
    <t>LOWER THRESHOLD</t>
  </si>
  <si>
    <t>MOVEMENT LOS</t>
  </si>
  <si>
    <t xml:space="preserve">Control Delay-  Movement Average </t>
  </si>
  <si>
    <r>
      <t>Any  Internal Q</t>
    </r>
    <r>
      <rPr>
        <b/>
        <sz val="11"/>
        <color theme="1"/>
        <rFont val="Calibri"/>
        <family val="2"/>
        <scheme val="minor"/>
      </rPr>
      <t>95</t>
    </r>
    <r>
      <rPr>
        <b/>
        <sz val="14"/>
        <color theme="1"/>
        <rFont val="Calibri"/>
        <family val="2"/>
        <scheme val="minor"/>
      </rPr>
      <t xml:space="preserve">  Exceed Storage ?</t>
    </r>
  </si>
  <si>
    <r>
      <t xml:space="preserve">Any U-TURN Q </t>
    </r>
    <r>
      <rPr>
        <b/>
        <sz val="11"/>
        <color theme="1"/>
        <rFont val="Calibri"/>
        <family val="2"/>
        <scheme val="minor"/>
      </rPr>
      <t>95</t>
    </r>
    <r>
      <rPr>
        <b/>
        <sz val="14"/>
        <color theme="1"/>
        <rFont val="Calibri"/>
        <family val="2"/>
        <scheme val="minor"/>
      </rPr>
      <t xml:space="preserve">   Exceeding Storage?</t>
    </r>
  </si>
  <si>
    <t>JUNCTION BASED MODULE</t>
  </si>
  <si>
    <t>MAIN INTERSECTION</t>
  </si>
  <si>
    <t>MAJOR THROUGH VOLUME 2-6</t>
  </si>
  <si>
    <t>MAJOR THROUGH VOLUME 6-2</t>
  </si>
  <si>
    <t>NOTE: SIMILAR ASSUMPTIONS AS CITED IN THE SIGNALIZED RCUT</t>
  </si>
  <si>
    <t>MINOR THROUGH VOLUME 4-8</t>
  </si>
  <si>
    <t>MINOR THROUGH VOLUME 8-4</t>
  </si>
  <si>
    <t>PEDVOL</t>
  </si>
  <si>
    <t>MINOR RT VOLUME  4-2</t>
  </si>
  <si>
    <t>U-TURNS AT REMOTE SIGNALS</t>
  </si>
  <si>
    <t>&gt;800</t>
  </si>
  <si>
    <t>SUM CRITICAL FLOW RATIOS</t>
  </si>
  <si>
    <t>LOCAL CYCLE</t>
  </si>
  <si>
    <t>PROPOSED CYCLE</t>
  </si>
  <si>
    <r>
      <rPr>
        <b/>
        <sz val="14"/>
        <color rgb="FFFF0000"/>
        <rFont val="Calibri"/>
        <family val="2"/>
        <scheme val="minor"/>
      </rPr>
      <t xml:space="preserve">REQUIRED </t>
    </r>
    <r>
      <rPr>
        <b/>
        <sz val="11"/>
        <color rgb="FFFF0000"/>
        <rFont val="Calibri"/>
        <family val="2"/>
        <scheme val="minor"/>
      </rPr>
      <t>CYCLE  MANUAL INPUT</t>
    </r>
  </si>
  <si>
    <t>REQUIRED</t>
  </si>
  <si>
    <t>THROUGH MAJOR GREEN</t>
  </si>
  <si>
    <t>IF FSIG PLAN=1</t>
  </si>
  <si>
    <t>U-TURN GREENS</t>
  </si>
  <si>
    <t>LOST TIME/ PHASE</t>
  </si>
  <si>
    <t>MINOR STREET GREENS</t>
  </si>
  <si>
    <t>= 5 seconds</t>
  </si>
  <si>
    <t>GREEN TIMES USED</t>
  </si>
  <si>
    <t>U-TURN PFS</t>
  </si>
  <si>
    <t>MINOR STREET PFS</t>
  </si>
  <si>
    <t>PERFORMANCE MEASURES MODULE</t>
  </si>
  <si>
    <t>MAJOR THROUGH V/C 6-2</t>
  </si>
  <si>
    <t>MINOR THROUGH V/C 4-8</t>
  </si>
  <si>
    <t>MINOR THROUGH V/C 8-4</t>
  </si>
  <si>
    <t>MINOR RT V/C  4-2</t>
  </si>
  <si>
    <t>MINOR RT  V/C 8-6</t>
  </si>
  <si>
    <t>U-TURNS V/C AT  SIGNALS 2/6</t>
  </si>
  <si>
    <t>MAJOR THROUGH DELAY 2-6</t>
  </si>
  <si>
    <t>MAJOR THROUGH DELAY 6-2</t>
  </si>
  <si>
    <t>MINOR THROUGH DELAY 4-8</t>
  </si>
  <si>
    <t>MINOR THROUGH DELAY 8-4</t>
  </si>
  <si>
    <t>MINOR RT DELAY  4-2</t>
  </si>
  <si>
    <t>MINOR RT  DELAY 8-6</t>
  </si>
  <si>
    <t>DELAY U-TURNS AT REMOTE SIGNALS</t>
  </si>
  <si>
    <t>Overall Intersection Delay</t>
  </si>
  <si>
    <t>MAJOR THROUGH 95% QUEUE 2-6</t>
  </si>
  <si>
    <t>MAJOR THROUGH 95% QUEUE 6-2</t>
  </si>
  <si>
    <t>MINOR THROUGH 95% QUEUE 4-8</t>
  </si>
  <si>
    <t>MINOR THROUGH 95% QUEUE 8-4</t>
  </si>
  <si>
    <t>MINOR RT 95% QUEUE  4-2</t>
  </si>
  <si>
    <t>95th U-TURNS AT REMOTE SIGNALS</t>
  </si>
  <si>
    <t>WB</t>
  </si>
  <si>
    <t>HCM6-EXH 23-10</t>
  </si>
  <si>
    <t>DIRECTION</t>
  </si>
  <si>
    <t>DESIGN VOLUMES (APPLYING  GROWTH FACTOR)</t>
  </si>
  <si>
    <t xml:space="preserve">Base saturation flow rate  </t>
  </si>
  <si>
    <t>CONTROL DELAY</t>
  </si>
  <si>
    <t>FACILITY ETT AND LOS</t>
  </si>
  <si>
    <t>SYSTEM ETT AND RESULTING LOS</t>
  </si>
  <si>
    <t>ANY INTERNAL Q'S EXCEED STORAGE ?</t>
  </si>
  <si>
    <t>MAXIMUM CRITICAL LANE VOLUME</t>
  </si>
  <si>
    <t>CROSSOVER @ 4</t>
  </si>
  <si>
    <t>CROSSOVER @ 8</t>
  </si>
  <si>
    <t>MAJOR LT LANES ON APPROACH</t>
  </si>
  <si>
    <t xml:space="preserve"> </t>
  </si>
  <si>
    <t>MAJOR LT LANES ON BRIDGE</t>
  </si>
  <si>
    <t xml:space="preserve">OFF-RAMP LT LANES </t>
  </si>
  <si>
    <t>VOLUMES HERE ARE ADJUSTED FOR THE EFFECTS OF HVs, PHF, TURNING MOVEMENTS AND LUFs</t>
  </si>
  <si>
    <t xml:space="preserve">ARTERIAL THROUGH VOLUME </t>
  </si>
  <si>
    <t>ARTERIAL LEFT TURN VOLUME</t>
  </si>
  <si>
    <t>Lost time is 5 seconds per phase across the board</t>
  </si>
  <si>
    <t>MAX CRITICAL LANE VOLUME</t>
  </si>
  <si>
    <t>Cycle based on a desired v/c = 0.85, subject to min and max</t>
  </si>
  <si>
    <t>Those are the fully adjusted flow ratios</t>
  </si>
  <si>
    <t>ARTERIAL THROUGH FLOW RATIO 4-8 &amp; 8-4</t>
  </si>
  <si>
    <t>Thru-Only</t>
  </si>
  <si>
    <t>LT- TURNING MOVEMENT Adj AT OFF RAMPS</t>
  </si>
  <si>
    <t>ARTERIAL LEFT FLOW RATIO 4-6 &amp; 8-2</t>
  </si>
  <si>
    <t>Defacto  LT Lane ?</t>
  </si>
  <si>
    <t>Defacto LT Lane ?</t>
  </si>
  <si>
    <t>RT- TURNING MOVEMENT ADJ AT OFF RAMPS</t>
  </si>
  <si>
    <t>Avail.Thru-lanes</t>
  </si>
  <si>
    <t>At 4-LUF Worksheet- No exclusive LT Lane</t>
  </si>
  <si>
    <t>EQPC=</t>
  </si>
  <si>
    <t>SUM OF CRITICAL FLOW RATIOS</t>
  </si>
  <si>
    <t>Selected LUF value</t>
  </si>
  <si>
    <t>PROPOSED CYCLE LENGTH</t>
  </si>
  <si>
    <t>Simple 2 phase signal @ 8</t>
  </si>
  <si>
    <t>Value if NO  defacto LT lane</t>
  </si>
  <si>
    <t xml:space="preserve">REQUIRED ! INPUT CYCLE LENGTH HERE </t>
  </si>
  <si>
    <t xml:space="preserve">     OFFRAMP-RT</t>
  </si>
  <si>
    <t>At 8-LUF Worksheet- No exclusive LT Lane</t>
  </si>
  <si>
    <t>OPPOSING THROUGH GREENS</t>
  </si>
  <si>
    <t>RIGHT</t>
  </si>
  <si>
    <t>LEFT</t>
  </si>
  <si>
    <t>OFF-RAMP RT GREENS</t>
  </si>
  <si>
    <t>OFF-RAMPLT GREENS</t>
  </si>
  <si>
    <t>Value if NO defacto LT lane</t>
  </si>
  <si>
    <t>USED GREENS</t>
  </si>
  <si>
    <t>IN THE METHOD</t>
  </si>
  <si>
    <t>OFF-RAMP LT GREENS</t>
  </si>
  <si>
    <t>LANE UTILIZATION FACTORS</t>
  </si>
  <si>
    <t>IN</t>
  </si>
  <si>
    <t>OUT</t>
  </si>
  <si>
    <t>Thru-1</t>
  </si>
  <si>
    <t xml:space="preserve">ARTERIAL THROUGH OR APPROACH V/C RATIO </t>
  </si>
  <si>
    <t>Thru-4</t>
  </si>
  <si>
    <t>LT-1</t>
  </si>
  <si>
    <t>ARTERIAL THROUGH OR APROACH PF</t>
  </si>
  <si>
    <t>SIGNAL TIMING CRITICAL MOVEMENT CALCULATION WORKSSHEET'</t>
  </si>
  <si>
    <t>OPPOSING THROUGH PF</t>
  </si>
  <si>
    <t>JUNCTION 4</t>
  </si>
  <si>
    <t>CRITICAL</t>
  </si>
  <si>
    <t>R-RIGHT</t>
  </si>
  <si>
    <t>R-LEFT</t>
  </si>
  <si>
    <t>LT-4</t>
  </si>
  <si>
    <t>IN+OUT</t>
  </si>
  <si>
    <t>RT-1</t>
  </si>
  <si>
    <t>IN+LEFT</t>
  </si>
  <si>
    <t>RT-2</t>
  </si>
  <si>
    <t>Arr/Cycle</t>
  </si>
  <si>
    <t>Q95 Factor</t>
  </si>
  <si>
    <t>RIGHT+OUT</t>
  </si>
  <si>
    <t>RT-3</t>
  </si>
  <si>
    <t>RIGHT+LEFT</t>
  </si>
  <si>
    <t>RT-4</t>
  </si>
  <si>
    <t>JUNCTION 8</t>
  </si>
  <si>
    <t>OVERALL INTERSECTION DELAY PPER VEHICLE (SEC)</t>
  </si>
  <si>
    <t>Upstream Filtering Factor "I" Calculations for Internal Movements</t>
  </si>
  <si>
    <t>Movem. ID</t>
  </si>
  <si>
    <t>Movement Volume</t>
  </si>
  <si>
    <t>Mov. v/c</t>
  </si>
  <si>
    <t>Weighted Xu</t>
  </si>
  <si>
    <t>8 to 4</t>
  </si>
  <si>
    <t>2 to 4</t>
  </si>
  <si>
    <t>4 to 8</t>
  </si>
  <si>
    <t>6 to8</t>
  </si>
  <si>
    <t>Factor</t>
  </si>
  <si>
    <t>GLOBAL INPUTS MODULE</t>
  </si>
  <si>
    <t>LOS TABLE</t>
  </si>
  <si>
    <t>ETT (s/veh)</t>
  </si>
  <si>
    <r>
      <t xml:space="preserve">≤10 and </t>
    </r>
    <r>
      <rPr>
        <b/>
        <i/>
        <sz val="11"/>
        <color theme="1"/>
        <rFont val="Calibri"/>
        <family val="2"/>
        <scheme val="minor"/>
      </rPr>
      <t>X</t>
    </r>
    <r>
      <rPr>
        <b/>
        <sz val="11"/>
        <color theme="1"/>
        <rFont val="Calibri"/>
        <family val="2"/>
        <scheme val="minor"/>
      </rPr>
      <t xml:space="preserve"> ≤ 1.00</t>
    </r>
  </si>
  <si>
    <r>
      <t xml:space="preserve">&gt;10–20 and </t>
    </r>
    <r>
      <rPr>
        <b/>
        <i/>
        <sz val="11"/>
        <color theme="1"/>
        <rFont val="Calibri"/>
        <family val="2"/>
        <scheme val="minor"/>
      </rPr>
      <t>X</t>
    </r>
    <r>
      <rPr>
        <b/>
        <sz val="11"/>
        <color theme="1"/>
        <rFont val="Calibri"/>
        <family val="2"/>
        <scheme val="minor"/>
      </rPr>
      <t xml:space="preserve"> ≤ 1.00</t>
    </r>
  </si>
  <si>
    <r>
      <t xml:space="preserve">&gt;20–35 and </t>
    </r>
    <r>
      <rPr>
        <b/>
        <i/>
        <sz val="11"/>
        <color theme="1"/>
        <rFont val="Calibri"/>
        <family val="2"/>
        <scheme val="minor"/>
      </rPr>
      <t>X</t>
    </r>
    <r>
      <rPr>
        <b/>
        <sz val="11"/>
        <color theme="1"/>
        <rFont val="Calibri"/>
        <family val="2"/>
        <scheme val="minor"/>
      </rPr>
      <t xml:space="preserve"> ≤ 1.00</t>
    </r>
  </si>
  <si>
    <r>
      <t xml:space="preserve">&gt;35–55 and </t>
    </r>
    <r>
      <rPr>
        <b/>
        <i/>
        <sz val="11"/>
        <color theme="1"/>
        <rFont val="Calibri"/>
        <family val="2"/>
        <scheme val="minor"/>
      </rPr>
      <t>X</t>
    </r>
    <r>
      <rPr>
        <b/>
        <sz val="11"/>
        <color theme="1"/>
        <rFont val="Calibri"/>
        <family val="2"/>
        <scheme val="minor"/>
      </rPr>
      <t xml:space="preserve"> ≤ 1.00</t>
    </r>
  </si>
  <si>
    <r>
      <t xml:space="preserve">&gt;55–80 and </t>
    </r>
    <r>
      <rPr>
        <b/>
        <i/>
        <sz val="11"/>
        <color theme="1"/>
        <rFont val="Calibri"/>
        <family val="2"/>
        <scheme val="minor"/>
      </rPr>
      <t>X</t>
    </r>
    <r>
      <rPr>
        <b/>
        <sz val="11"/>
        <color theme="1"/>
        <rFont val="Calibri"/>
        <family val="2"/>
        <scheme val="minor"/>
      </rPr>
      <t xml:space="preserve"> ≤ 1.00</t>
    </r>
  </si>
  <si>
    <t>APPROACH LOS</t>
  </si>
  <si>
    <r>
      <t xml:space="preserve">&gt;80 or </t>
    </r>
    <r>
      <rPr>
        <b/>
        <i/>
        <sz val="11"/>
        <color theme="1"/>
        <rFont val="Calibri"/>
        <family val="2"/>
        <scheme val="minor"/>
      </rPr>
      <t>X</t>
    </r>
    <r>
      <rPr>
        <b/>
        <sz val="11"/>
        <color theme="1"/>
        <rFont val="Calibri"/>
        <family val="2"/>
        <scheme val="minor"/>
      </rPr>
      <t xml:space="preserve"> &gt; 1.00</t>
    </r>
  </si>
  <si>
    <t>SYSTEM CONTROL DELAY /VEHICLE AND LOS</t>
  </si>
  <si>
    <t>QUEUE CONSTRAINTS MET AT SIGNAL 2 ?</t>
  </si>
  <si>
    <t>QUEUE CONSTRAINTS MET AT SIGNAL 6 ?</t>
  </si>
  <si>
    <t>INTERSECTION MAIN</t>
  </si>
  <si>
    <t>MAJOR THROUGH LANES 2-6</t>
  </si>
  <si>
    <t>MAJOR THROUGH LANES 6-2</t>
  </si>
  <si>
    <t>Simplifying Assumptions</t>
  </si>
  <si>
    <t>MINOR THRU LANES</t>
  </si>
  <si>
    <t>Symmetrical geometry with 1/2 CFI on the main road only</t>
  </si>
  <si>
    <t>MINOR LT LANES</t>
  </si>
  <si>
    <t>Right turns added to through if no exclusive RT lanes, otherwise their delays ignored</t>
  </si>
  <si>
    <t>MINOR RT LANES</t>
  </si>
  <si>
    <t>LT's at the main intersection are also ignored, per HCM guidance</t>
  </si>
  <si>
    <t>MAJOR LT LANES</t>
  </si>
  <si>
    <t>Lost time per phase is 5 seconds</t>
  </si>
  <si>
    <t>MAJOR THROUGH VOL 2-6</t>
  </si>
  <si>
    <t>Demand Volumes are</t>
  </si>
  <si>
    <t>MAJOR THROUGH VOL 6-2</t>
  </si>
  <si>
    <t>adjusted for LUF, OD,</t>
  </si>
  <si>
    <t>MINOR THRU VOL 4-8</t>
  </si>
  <si>
    <t>Lost time PER CYCLE estimate is 10% of the CYCLE LENGTH</t>
  </si>
  <si>
    <t>PHF and HV</t>
  </si>
  <si>
    <t>MINOR LT VOL 4-6</t>
  </si>
  <si>
    <t>MINOR LT VOL 8-2</t>
  </si>
  <si>
    <t>MINOR RT VOL 4-2</t>
  </si>
  <si>
    <t>MINOR RT VOL 8-6</t>
  </si>
  <si>
    <t>CAPACITY CHECK AT EACH SIGNAL</t>
  </si>
  <si>
    <t>Flow Ratios additionally</t>
  </si>
  <si>
    <t>adjusted for peds, parking</t>
  </si>
  <si>
    <t>and turning movements</t>
  </si>
  <si>
    <t>SIGNAL PLANNING MODULE (ASSUMING 3 Phase- Maj Thrus+ Minor Thrus+ Minor Lefts)</t>
  </si>
  <si>
    <t>SYSTEM CYCLE MUST BE ENTERED</t>
  </si>
  <si>
    <t>Park /N lanes</t>
  </si>
  <si>
    <t>INPUT  THROUGH MAJOR GREEN 2-6</t>
  </si>
  <si>
    <t>INPUT THROUGH MAJOR GREEN 6-2</t>
  </si>
  <si>
    <t>INPUT MINOR THRU GREEN 4-8</t>
  </si>
  <si>
    <t>INPUT THROUGH GREEN 8-4</t>
  </si>
  <si>
    <t>INPUT MINOR LEFT TURN GREEN 4-6</t>
  </si>
  <si>
    <t>INPUT MINOR LEFT TURN GREEN 8-2</t>
  </si>
  <si>
    <t>INPUT MAJOR LT/MINOR RT AT 2 AND 6</t>
  </si>
  <si>
    <t>THROUGH MAJOR GREEN 2-6</t>
  </si>
  <si>
    <t>Ups Mov. v/c</t>
  </si>
  <si>
    <t>THROUGH MAJOR GREEN 6-2</t>
  </si>
  <si>
    <t>8 TO 2</t>
  </si>
  <si>
    <t xml:space="preserve"> MINOR THRU GREEN 4-8</t>
  </si>
  <si>
    <t>6 TO 2</t>
  </si>
  <si>
    <t>MINOR THRU GREEN 8-4</t>
  </si>
  <si>
    <t>4 TO 6</t>
  </si>
  <si>
    <t>2 TO 6</t>
  </si>
  <si>
    <t>PERFORMANCE MEASURES  MODULE</t>
  </si>
  <si>
    <t>EB</t>
  </si>
  <si>
    <t xml:space="preserve">MAJOR THROUGH V/C 2-6 </t>
  </si>
  <si>
    <t>MINOR THRU V/C  4-8</t>
  </si>
  <si>
    <t>MINOR THRU V/C 8-4</t>
  </si>
  <si>
    <t>MINOR LT V/C 4-6</t>
  </si>
  <si>
    <t>MINOR LT V/C 8-2</t>
  </si>
  <si>
    <t>MINOR RT V/C AT 2 AND 6</t>
  </si>
  <si>
    <t>MAJOR LT V/C AT 2 OR 6</t>
  </si>
  <si>
    <t>MAJOR THROUGHPF 2-6</t>
  </si>
  <si>
    <t>MAJOR THROUGH PF 6-2</t>
  </si>
  <si>
    <t>MINOR THRU PF  4-8</t>
  </si>
  <si>
    <t>MINOR THRU PF 8-4</t>
  </si>
  <si>
    <t>MINOR LT PF 4-6</t>
  </si>
  <si>
    <t>MINOR LT PF 8-2</t>
  </si>
  <si>
    <t>MINOR RT PF AT 2 AND 6</t>
  </si>
  <si>
    <t>MAJOR LT PF AT 2 OR 6</t>
  </si>
  <si>
    <t>MAJOR THROUGHDELAY 2-6</t>
  </si>
  <si>
    <t>MINOR THRU DELAY  4-8</t>
  </si>
  <si>
    <t>MINOR THRU DELAY 8-4</t>
  </si>
  <si>
    <t>MINOR LT DELAY 4-6</t>
  </si>
  <si>
    <t>MINOR LT DELAY 8-2</t>
  </si>
  <si>
    <t>MINOR RT DELAY AT 2 AND 6</t>
  </si>
  <si>
    <t>MAJOR LT DELAY AT 2 OR 6</t>
  </si>
  <si>
    <t>INTERSECTION DELAYS</t>
  </si>
  <si>
    <t>MAJOR THROUGH 95th Queue 2-6</t>
  </si>
  <si>
    <t>MAJOR THROUGH 95th Queue 6-2</t>
  </si>
  <si>
    <t>MINOR THRU 95th Queue  4-8</t>
  </si>
  <si>
    <t>MINOR LT 95th Queue 4-6</t>
  </si>
  <si>
    <t>MINOT LT 95th Queue 8-2</t>
  </si>
  <si>
    <t>MAJOR LT 95th Queue AT 2 OR 6</t>
  </si>
  <si>
    <t>GLOBAL INPUTS  MODULE</t>
  </si>
  <si>
    <r>
      <t>Any  Internal Q</t>
    </r>
    <r>
      <rPr>
        <b/>
        <sz val="11"/>
        <color theme="1"/>
        <rFont val="Calibri"/>
        <family val="2"/>
        <scheme val="minor"/>
      </rPr>
      <t>95</t>
    </r>
    <r>
      <rPr>
        <b/>
        <sz val="14"/>
        <color theme="1"/>
        <rFont val="Calibri"/>
        <family val="2"/>
        <scheme val="minor"/>
      </rPr>
      <t xml:space="preserve">  @ Main Exceed Storage ?</t>
    </r>
  </si>
  <si>
    <r>
      <t>Any  QRI  Movements Q</t>
    </r>
    <r>
      <rPr>
        <b/>
        <sz val="11"/>
        <color theme="1"/>
        <rFont val="Calibri"/>
        <family val="2"/>
        <scheme val="minor"/>
      </rPr>
      <t>95's</t>
    </r>
    <r>
      <rPr>
        <b/>
        <sz val="14"/>
        <color theme="1"/>
        <rFont val="Calibri"/>
        <family val="2"/>
        <scheme val="minor"/>
      </rPr>
      <t xml:space="preserve"> Exceed Storage ?</t>
    </r>
  </si>
  <si>
    <t>Practical Saturation Flow Rate</t>
  </si>
  <si>
    <t>QRI ON 2-6</t>
  </si>
  <si>
    <t>QRI ON 4-8</t>
  </si>
  <si>
    <t>2Q8</t>
  </si>
  <si>
    <t>MAJOR THROUGH LANES 26 / 48</t>
  </si>
  <si>
    <t>MAJOR THROUGH LANES 62 /84</t>
  </si>
  <si>
    <t>MAJOR RT LANES 26 /48</t>
  </si>
  <si>
    <t>MAJOR RT LANES 62 /84</t>
  </si>
  <si>
    <t>Estimated QR Road Length (ft)</t>
  </si>
  <si>
    <t>MAJOR LT LANES AT 26 / 48 QRI</t>
  </si>
  <si>
    <t>MAJOR LT LANES AT 62 / 84 QRI</t>
  </si>
  <si>
    <r>
      <t xml:space="preserve">MINOR RT LANES AT 26 / 48 QRI </t>
    </r>
    <r>
      <rPr>
        <b/>
        <sz val="11"/>
        <color theme="1"/>
        <rFont val="Calibri"/>
        <family val="2"/>
        <scheme val="minor"/>
      </rPr>
      <t>(&gt;=1 IF SHARED WITH LT)</t>
    </r>
  </si>
  <si>
    <r>
      <t>MINOR LT LANES AT 26 / 48 QRI</t>
    </r>
    <r>
      <rPr>
        <b/>
        <sz val="11"/>
        <color theme="1"/>
        <rFont val="Calibri"/>
        <family val="2"/>
        <scheme val="minor"/>
      </rPr>
      <t xml:space="preserve"> (ZERO IF SHARED WITH RT)</t>
    </r>
  </si>
  <si>
    <t>Approach</t>
  </si>
  <si>
    <t>26/62</t>
  </si>
  <si>
    <t>48/84</t>
  </si>
  <si>
    <t>MAJOR THROUGH VOLUME 26 / 48</t>
  </si>
  <si>
    <t>MAJOR THROUGH VOLUME 62 /84</t>
  </si>
  <si>
    <t>MAJOR RT VOLUME 26 /48</t>
  </si>
  <si>
    <t>MAJOR RT VOLUME 62 /84</t>
  </si>
  <si>
    <t>MAJOR LT VOLUME AT 26 / 48 QRI</t>
  </si>
  <si>
    <t>MAJOR LT VOLUME AT 62 / 84 QRI</t>
  </si>
  <si>
    <t>Phasing Pattern at QRI on 2-6</t>
  </si>
  <si>
    <t>MINOR RT VOLUME AT 26 / 48 QRI</t>
  </si>
  <si>
    <t>Critical Movements in Red</t>
  </si>
  <si>
    <t>MINOR LT VOLUME AT 26 / 48 QRI</t>
  </si>
  <si>
    <t>MAJOR THROUGH FLOWRATIO 26 / 48</t>
  </si>
  <si>
    <t>MAJOR THROUGH FLOWRATIO 62 /84</t>
  </si>
  <si>
    <t>TRAFFIC CONTROL PLANNING MODULE</t>
  </si>
  <si>
    <t>LOST TIME  PER CYCLE</t>
  </si>
  <si>
    <t xml:space="preserve">OVERALL DELAY </t>
  </si>
  <si>
    <t>PROPOSED LOCAL CYCLE  LENGTH</t>
  </si>
  <si>
    <t>MAJOR THROUGH GREEN 26 / 48</t>
  </si>
  <si>
    <t>MAJOR THROUGH GREEN 62 /84</t>
  </si>
  <si>
    <t>MAJOR RT GREEN 26 /48</t>
  </si>
  <si>
    <t>MAJOR RT GREEN 62 /84</t>
  </si>
  <si>
    <t>MAJOR LT GREEN AT 26 / 48 QRI</t>
  </si>
  <si>
    <t>MAJOR LT GREEN AT 62 / 84 QRI</t>
  </si>
  <si>
    <t>MINOR RT GREEN AT 26 / 48 QRI</t>
  </si>
  <si>
    <t>MINOR LT GREEN AT 26 / 48 QRI</t>
  </si>
  <si>
    <t xml:space="preserve">                  GREEN TIME USED</t>
  </si>
  <si>
    <t>MAJOR THROUGH V/C RATIO 26 / 48</t>
  </si>
  <si>
    <t>MAJOR THROUGH V/C RATIO 62 /84</t>
  </si>
  <si>
    <t>MAJOR RT V/C RATIO 26 /48</t>
  </si>
  <si>
    <t>MAJOR RT V/C RATIO 62 /84</t>
  </si>
  <si>
    <t>MAJOR LT V/C RATIO AT 26 / 48 QRI</t>
  </si>
  <si>
    <t>MAJOR LT V/C RATIO AT 62 / 84 QRI</t>
  </si>
  <si>
    <t>MINOR RT V/C RATIO AT 26 / 48 QRI</t>
  </si>
  <si>
    <t>MINOR LT V/C RATIO AT 26 / 48 QRI</t>
  </si>
  <si>
    <t>MAJOR THROUGH PROG FACTOR 26 / 48</t>
  </si>
  <si>
    <t>MAJOR THROUGH PROG FACTOR 62 /84</t>
  </si>
  <si>
    <t>MAJOR RT PROG FACTOR 26 /48</t>
  </si>
  <si>
    <t>MAJOR RT PROG FACTOR 62 /84</t>
  </si>
  <si>
    <t>MAJOR LT PROG FACTOR AT 26 / 48 QRI</t>
  </si>
  <si>
    <t>MAJOR LT PROG FACTOR AT 62 / 84 QRI</t>
  </si>
  <si>
    <t>MINOR RT PROG FACTOR AT 26 / 48 QRI</t>
  </si>
  <si>
    <t>MINOR LT PROG FACTOR AT 26 / 48 QRI</t>
  </si>
  <si>
    <t>MAJOR THROUGH CTRL DELAY 26 / 48</t>
  </si>
  <si>
    <t>MAJOR THROUGH CTRL DELAY 62 /84</t>
  </si>
  <si>
    <t>MAJOR RT CTRL DELAY 26 /48</t>
  </si>
  <si>
    <t>MAJOR RT CTRL DELAY 62 /84</t>
  </si>
  <si>
    <t>MAJOR LT CTRL DELAY AT 26 / 48 QRI</t>
  </si>
  <si>
    <t>MAJOR LT CTRL DELAY AT 62 / 84 QRI</t>
  </si>
  <si>
    <t>MINOR RT CTRL DELAY AT 26 / 48 QRI</t>
  </si>
  <si>
    <t>MINOR LT CTRL DELAY AT 26 / 48 QRI</t>
  </si>
  <si>
    <t>MAJOR THROUGH 95TH QUEUE 26 / 48</t>
  </si>
  <si>
    <t>MAJOR THROUGH 95TH QUEUE 62 /84</t>
  </si>
  <si>
    <t>MAJOR RT 95TH QUEUE 26 /48</t>
  </si>
  <si>
    <t>MAJOR RT 95TH QUEUE 62 /84</t>
  </si>
  <si>
    <t>MAJOR LT 95TH QUEUE AT 26 / 48 QRI</t>
  </si>
  <si>
    <t>MAJOR LT 95TH QUEUE AT 62 / 84 QRI</t>
  </si>
  <si>
    <t>MINOR RT 95TH QUEUE AT 26 / 48 QRI</t>
  </si>
  <si>
    <t>MINOR LT 95TH QUEUE AT 26 / 48 QRI</t>
  </si>
  <si>
    <t>Any  Internal Q95  @ Main Exceed Storage ?</t>
  </si>
  <si>
    <t>Any  QRI  Movements Q95's Exceed Storage ?</t>
  </si>
  <si>
    <t>Yield at 4</t>
  </si>
  <si>
    <t>From 6 &amp;8</t>
  </si>
  <si>
    <t>Yield at 8</t>
  </si>
  <si>
    <t>MAJOR THROUGH LANES 26 / 62</t>
  </si>
  <si>
    <t>MAJOR RT LANES 28 AND 64</t>
  </si>
  <si>
    <t>MAJOR THRU LANES 48 /84</t>
  </si>
  <si>
    <t>MAJOR  RT LANES 42 AND 86</t>
  </si>
  <si>
    <t>MAJOR LT LANES AT 46 / 82</t>
  </si>
  <si>
    <t>MINOR LT LANES AT J4 / J8</t>
  </si>
  <si>
    <t xml:space="preserve">DEMAND VOLUMES AND UNSIGNALIZED CAPACITY </t>
  </si>
  <si>
    <t>MINOR RIGHT TURN 64 OR 28</t>
  </si>
  <si>
    <t>MINOR LEFT TURN 68 OR 24</t>
  </si>
  <si>
    <t xml:space="preserve">VOL OPPOSING MINOR RIGHT TURNS </t>
  </si>
  <si>
    <t>VOL OPPOSING MINOR LEFT TURNS</t>
  </si>
  <si>
    <t>CAPACITY OF MINOR RIGHT TURNS</t>
  </si>
  <si>
    <t>CAPACITY OF MINOR LEFT TURNS</t>
  </si>
  <si>
    <t>MAIN INTERSECTION THRU 26 AND 62</t>
  </si>
  <si>
    <t>MAIN INTERSECTION RT 28 AND 64</t>
  </si>
  <si>
    <t>MAIN INTERSECTION THRU 48 AND 84</t>
  </si>
  <si>
    <t>MAIN INTERSECTION LT 46 AND 82</t>
  </si>
  <si>
    <t>JUGHANDLE AT 64</t>
  </si>
  <si>
    <t>JUGHANDLE AT 28</t>
  </si>
  <si>
    <t>FLOW RATIO THRU 26 AND 62</t>
  </si>
  <si>
    <t>FLOW RATIO  RT 28 AND 64</t>
  </si>
  <si>
    <t>FLOW RATIO THRU 48 AND 84</t>
  </si>
  <si>
    <t>FLOW RATIO  LT 46 AND 82</t>
  </si>
  <si>
    <t>SUM CRITICAL FLOW RATIO</t>
  </si>
  <si>
    <t>SIGNAL AND STOP/YIELD SIGN  PLANNING MODULE</t>
  </si>
  <si>
    <t>GREEN TIME THRU 26 AND 62</t>
  </si>
  <si>
    <t>GREEN TIME  RT 28 AND 64</t>
  </si>
  <si>
    <t>THRU GREEN TIME AT APPROACH 48 AND 84</t>
  </si>
  <si>
    <t>LEFT GREEN TIME AT APPROACH 46 AND 82</t>
  </si>
  <si>
    <t>V/C RATIO THRU 26 AND 62</t>
  </si>
  <si>
    <t>V/C RATIO  RT 28 AND 64</t>
  </si>
  <si>
    <t>V/C RATIO THRU 48 AND 84</t>
  </si>
  <si>
    <t>V/C RATIO  LT 46 AND 82</t>
  </si>
  <si>
    <t>V/C RATIO MINOR RIGHT TURNS</t>
  </si>
  <si>
    <t>V/C RATIO MINOR LEFT TURNS</t>
  </si>
  <si>
    <t>PROG FACTOR THRU 26 AND 62</t>
  </si>
  <si>
    <t>PROG FACTOR  RT 28 AND 64</t>
  </si>
  <si>
    <t>PROG FACTOR THRU 48 AND 84</t>
  </si>
  <si>
    <t>PROG FACTOR  RT42 AND 86</t>
  </si>
  <si>
    <t>PROG FACTOR  LT 46 AND 82</t>
  </si>
  <si>
    <t>PROG FACTOR MINOR RIGHT TURNS</t>
  </si>
  <si>
    <t>PROG FACTOR MINOR LEFT TURNS</t>
  </si>
  <si>
    <t>JuGHANDLE AT 4</t>
  </si>
  <si>
    <t>From 2&amp;4</t>
  </si>
  <si>
    <t>CONTROL DELAY  THRU 26 AND 62</t>
  </si>
  <si>
    <t>CONTROL DELAY  MINOR RIGHT TURNS</t>
  </si>
  <si>
    <t>CONTROL DELAY  MINOR LEFT TURNS</t>
  </si>
  <si>
    <t>Overall Avg. Intersection Delay (S)</t>
  </si>
  <si>
    <t xml:space="preserve">95TH PERCENTILE QUEUES IN FEET </t>
  </si>
  <si>
    <t>READ ME FIRST</t>
  </si>
  <si>
    <t>Universal Movement Labeling Scheme</t>
  </si>
  <si>
    <t>THRU</t>
  </si>
  <si>
    <t>From Node</t>
  </si>
  <si>
    <t>To Node</t>
  </si>
  <si>
    <t>MAJOR THROUGH LANES 2-8</t>
  </si>
  <si>
    <t>MAJOR THROUGH LANES 6-4</t>
  </si>
  <si>
    <t>MAJOR RIGHT TURN LANES 2-8</t>
  </si>
  <si>
    <t>MAJOR RIGHT TURN LANES 6-4</t>
  </si>
  <si>
    <t>MINOR RIGHT TURN LANES AT 4</t>
  </si>
  <si>
    <t>MINOR RIGHT TURN LANES AT 8</t>
  </si>
  <si>
    <t>MINOR STREET GREEN @ 4</t>
  </si>
  <si>
    <t>MINOR STREET GREEN @ 8</t>
  </si>
  <si>
    <t>NEXT INPUTS</t>
  </si>
  <si>
    <t>Inputs</t>
  </si>
  <si>
    <t>Units</t>
  </si>
  <si>
    <t>Variable</t>
  </si>
  <si>
    <t>Peak hour factor</t>
  </si>
  <si>
    <t>PHF</t>
  </si>
  <si>
    <t>Proportion heavy vehicles</t>
  </si>
  <si>
    <r>
      <t>P</t>
    </r>
    <r>
      <rPr>
        <vertAlign val="subscript"/>
        <sz val="11"/>
        <color theme="1"/>
        <rFont val="Calibri"/>
        <family val="2"/>
        <scheme val="minor"/>
      </rPr>
      <t>HV</t>
    </r>
  </si>
  <si>
    <t>Volume calculations</t>
  </si>
  <si>
    <t>SB</t>
  </si>
  <si>
    <t>LT</t>
  </si>
  <si>
    <t>TH</t>
  </si>
  <si>
    <t>RT</t>
  </si>
  <si>
    <t>Demand volume</t>
  </si>
  <si>
    <r>
      <t>V</t>
    </r>
    <r>
      <rPr>
        <vertAlign val="subscript"/>
        <sz val="11"/>
        <color theme="1"/>
        <rFont val="Calibri"/>
        <family val="2"/>
        <scheme val="minor"/>
      </rPr>
      <t>i</t>
    </r>
  </si>
  <si>
    <t>Demand flow rate (step 1)</t>
  </si>
  <si>
    <r>
      <t>v</t>
    </r>
    <r>
      <rPr>
        <vertAlign val="subscript"/>
        <sz val="11"/>
        <color theme="1"/>
        <rFont val="Calibri"/>
        <family val="2"/>
        <scheme val="minor"/>
      </rPr>
      <t>i</t>
    </r>
  </si>
  <si>
    <t>Demand flow rate (step 2)</t>
  </si>
  <si>
    <r>
      <t>v</t>
    </r>
    <r>
      <rPr>
        <vertAlign val="subscript"/>
        <sz val="11"/>
        <color theme="1"/>
        <rFont val="Calibri"/>
        <family val="2"/>
        <scheme val="minor"/>
      </rPr>
      <t>ipce</t>
    </r>
  </si>
  <si>
    <t>Capacity and LOS Calculations</t>
  </si>
  <si>
    <t>Circulating flow rate (step 3)</t>
  </si>
  <si>
    <r>
      <t>v</t>
    </r>
    <r>
      <rPr>
        <vertAlign val="subscript"/>
        <sz val="11"/>
        <color theme="1"/>
        <rFont val="Calibri"/>
        <family val="2"/>
        <scheme val="minor"/>
      </rPr>
      <t>cxx,pce</t>
    </r>
  </si>
  <si>
    <t>Entry flow rate (step 4)</t>
  </si>
  <si>
    <r>
      <t>v</t>
    </r>
    <r>
      <rPr>
        <vertAlign val="subscript"/>
        <sz val="11"/>
        <color theme="1"/>
        <rFont val="Calibri"/>
        <family val="2"/>
        <scheme val="minor"/>
      </rPr>
      <t>e</t>
    </r>
  </si>
  <si>
    <t>Lane capacity (step 5)</t>
  </si>
  <si>
    <r>
      <t>c</t>
    </r>
    <r>
      <rPr>
        <vertAlign val="subscript"/>
        <sz val="11"/>
        <color theme="1"/>
        <rFont val="Calibri"/>
        <family val="2"/>
        <scheme val="minor"/>
      </rPr>
      <t>e,pce</t>
    </r>
  </si>
  <si>
    <t>Lane flow rate (step 6)</t>
  </si>
  <si>
    <t>Capacity flow rate (step 7)</t>
  </si>
  <si>
    <r>
      <t>c</t>
    </r>
    <r>
      <rPr>
        <vertAlign val="subscript"/>
        <sz val="11"/>
        <color theme="1"/>
        <rFont val="Calibri"/>
        <family val="2"/>
        <scheme val="minor"/>
      </rPr>
      <t>i</t>
    </r>
  </si>
  <si>
    <t>Volume-to-capacity ratio (step 8)</t>
  </si>
  <si>
    <t>v/c</t>
  </si>
  <si>
    <t>Average control delay (step 9)</t>
  </si>
  <si>
    <t>d</t>
  </si>
  <si>
    <t>Level of service</t>
  </si>
  <si>
    <t>Intersection delay</t>
  </si>
  <si>
    <t>Assumptions:</t>
  </si>
  <si>
    <t>1. One lane on each approach and in the roundabout.</t>
  </si>
  <si>
    <t>2. There are no pedestrians at the intersection.</t>
  </si>
  <si>
    <t>Demand flow rate (step 3)</t>
  </si>
  <si>
    <t>Delay</t>
  </si>
  <si>
    <t>Intersection LOS</t>
  </si>
  <si>
    <t>PART 1: CRITICAL MOVEMENT ANALYSIS</t>
  </si>
  <si>
    <t>Eastbound</t>
  </si>
  <si>
    <t>Westbound</t>
  </si>
  <si>
    <t>Northbound</t>
  </si>
  <si>
    <t>Southbound</t>
  </si>
  <si>
    <t>Movement</t>
  </si>
  <si>
    <t>Traffic Characteristics</t>
  </si>
  <si>
    <t>Pedestrians</t>
  </si>
  <si>
    <t>Intersection Geometry</t>
  </si>
  <si>
    <t xml:space="preserve">Parking </t>
  </si>
  <si>
    <t>Left-Turn Phasing</t>
  </si>
  <si>
    <t>Right-Turn Phasing</t>
  </si>
  <si>
    <t>Permitted</t>
  </si>
  <si>
    <t>Adjustment Factors</t>
  </si>
  <si>
    <r>
      <t>E</t>
    </r>
    <r>
      <rPr>
        <vertAlign val="subscript"/>
        <sz val="11"/>
        <color theme="1"/>
        <rFont val="Calibri"/>
        <family val="2"/>
        <scheme val="minor"/>
      </rPr>
      <t>HV</t>
    </r>
  </si>
  <si>
    <r>
      <t>E</t>
    </r>
    <r>
      <rPr>
        <vertAlign val="subscript"/>
        <sz val="11"/>
        <color theme="1"/>
        <rFont val="Calibri"/>
        <family val="2"/>
        <scheme val="minor"/>
      </rPr>
      <t>PHF</t>
    </r>
  </si>
  <si>
    <r>
      <t>E</t>
    </r>
    <r>
      <rPr>
        <vertAlign val="subscript"/>
        <sz val="11"/>
        <color theme="1"/>
        <rFont val="Calibri"/>
        <family val="2"/>
        <scheme val="minor"/>
      </rPr>
      <t>LT</t>
    </r>
  </si>
  <si>
    <r>
      <t>E</t>
    </r>
    <r>
      <rPr>
        <vertAlign val="subscript"/>
        <sz val="11"/>
        <color theme="1"/>
        <rFont val="Calibri"/>
        <family val="2"/>
        <scheme val="minor"/>
      </rPr>
      <t>RT</t>
    </r>
  </si>
  <si>
    <r>
      <t>E</t>
    </r>
    <r>
      <rPr>
        <vertAlign val="subscript"/>
        <sz val="11"/>
        <color theme="1"/>
        <rFont val="Calibri"/>
        <family val="2"/>
        <scheme val="minor"/>
      </rPr>
      <t>P</t>
    </r>
  </si>
  <si>
    <r>
      <rPr>
        <sz val="11"/>
        <color theme="1"/>
        <rFont val="Calibri"/>
        <family val="2"/>
        <scheme val="minor"/>
      </rPr>
      <t>E</t>
    </r>
    <r>
      <rPr>
        <vertAlign val="subscript"/>
        <sz val="11"/>
        <color theme="1"/>
        <rFont val="Calibri"/>
        <family val="2"/>
        <scheme val="minor"/>
      </rPr>
      <t>LU</t>
    </r>
  </si>
  <si>
    <r>
      <t>E</t>
    </r>
    <r>
      <rPr>
        <vertAlign val="subscript"/>
        <sz val="11"/>
        <color rgb="FF000000"/>
        <rFont val="Calibri"/>
        <family val="2"/>
        <scheme val="minor"/>
      </rPr>
      <t>other</t>
    </r>
  </si>
  <si>
    <t>Movement flow rate (tpc/h)</t>
  </si>
  <si>
    <t>Lane group flow rate (tpc/h/ln)</t>
  </si>
  <si>
    <t>Critical Movement Analysis Results</t>
  </si>
  <si>
    <t>Sum critical lane volumes (tpc/h/ln)</t>
  </si>
  <si>
    <t>Critical flow ratio</t>
  </si>
  <si>
    <t>Default</t>
  </si>
  <si>
    <t>If known</t>
  </si>
  <si>
    <t>Used</t>
  </si>
  <si>
    <t>Cycle length (s)</t>
  </si>
  <si>
    <t>Lost time per phase (s)</t>
  </si>
  <si>
    <t>Number of critical phases</t>
  </si>
  <si>
    <t>Total effective green time (s)</t>
  </si>
  <si>
    <t>Green times (calculated)</t>
  </si>
  <si>
    <t>Critical effective green time (s)</t>
  </si>
  <si>
    <t>Critical phase volume (tpc/h/ln)</t>
  </si>
  <si>
    <t>Critical phase capacity (tpc/h/ln)</t>
  </si>
  <si>
    <t>Critical phase v/c ratio</t>
  </si>
  <si>
    <t>Progression factor</t>
  </si>
  <si>
    <t>g/C ratio</t>
  </si>
  <si>
    <t>Lane group capacity (tpc/h/ln)</t>
  </si>
  <si>
    <t>Lane group v/c ratio</t>
  </si>
  <si>
    <t>Uniform delay (s)</t>
  </si>
  <si>
    <t>Incremental delay (s)</t>
  </si>
  <si>
    <t>Control delay (s)</t>
  </si>
  <si>
    <t>Intersection control delay (s)</t>
  </si>
  <si>
    <t>Intersection v/c ratio</t>
  </si>
  <si>
    <t>PART 3: QUEUE</t>
  </si>
  <si>
    <t>Deterministic average queue (tpc/ln)</t>
  </si>
  <si>
    <t>95th percentile queue (tpc/h)</t>
  </si>
  <si>
    <t>NB</t>
  </si>
  <si>
    <t>EBL</t>
  </si>
  <si>
    <t>EBT</t>
  </si>
  <si>
    <t>EBR</t>
  </si>
  <si>
    <t>WBL</t>
  </si>
  <si>
    <t>WBT</t>
  </si>
  <si>
    <t>WBR</t>
  </si>
  <si>
    <t>NBL</t>
  </si>
  <si>
    <t>NBT</t>
  </si>
  <si>
    <t>NBR</t>
  </si>
  <si>
    <t>SBL</t>
  </si>
  <si>
    <t>SBT</t>
  </si>
  <si>
    <t>SBR</t>
  </si>
  <si>
    <t>None</t>
  </si>
  <si>
    <t>SITE:</t>
  </si>
  <si>
    <t>AVERAGE MOVEM. CONTROL DELAY</t>
  </si>
  <si>
    <t xml:space="preserve">DEMAND VOLUMES AND UNSIGNALIZED RT CAPACITY </t>
  </si>
  <si>
    <t>MINOR RIGHT TURN 84 OR 48</t>
  </si>
  <si>
    <t>PERMISSIVE MINOR LT SATFLO</t>
  </si>
  <si>
    <t xml:space="preserve">                                                                                SIGNAL PLANNING MODULE</t>
  </si>
  <si>
    <t>26/48</t>
  </si>
  <si>
    <t>62/84</t>
  </si>
  <si>
    <t>SEC</t>
  </si>
  <si>
    <t>BASED ON THE PAPER BY NING WU IN</t>
  </si>
  <si>
    <t>tb=</t>
  </si>
  <si>
    <t>TRR 1710, PP. 205-214,  January 2000</t>
  </si>
  <si>
    <t>HV%=</t>
  </si>
  <si>
    <t>#Legs=</t>
  </si>
  <si>
    <t>INPUT VOLUMES</t>
  </si>
  <si>
    <t>BOUNDARY VALUES</t>
  </si>
  <si>
    <t>C1=3600/(n-1)tB</t>
  </si>
  <si>
    <t>3600/tB</t>
  </si>
  <si>
    <t>CONFLITING TRAFFIC MOVEMENTS</t>
  </si>
  <si>
    <t>QlT</t>
  </si>
  <si>
    <t>QoT</t>
  </si>
  <si>
    <t>QrT</t>
  </si>
  <si>
    <t>QIL</t>
  </si>
  <si>
    <t>QrL</t>
  </si>
  <si>
    <t>QoL</t>
  </si>
  <si>
    <t>QoR</t>
  </si>
  <si>
    <t>ADJUSTED FOR PHF and HV</t>
  </si>
  <si>
    <t>QrR</t>
  </si>
  <si>
    <t>for LT</t>
  </si>
  <si>
    <t>NORTH</t>
  </si>
  <si>
    <t>for CT</t>
  </si>
  <si>
    <t>WEST</t>
  </si>
  <si>
    <t>EAST</t>
  </si>
  <si>
    <t>CR</t>
  </si>
  <si>
    <t>SOUTH</t>
  </si>
  <si>
    <t>INT_CAP</t>
  </si>
  <si>
    <t>INT-v/c</t>
  </si>
  <si>
    <t>HCM6 Eq. 21-30</t>
  </si>
  <si>
    <t>INT-DEL</t>
  </si>
  <si>
    <t>Example AWSC-1 in HCM-6, Chapter  32 page 56</t>
  </si>
  <si>
    <t>Documentation of Method</t>
  </si>
  <si>
    <t>VBA Functions</t>
  </si>
  <si>
    <t>The peak hour factor is supplied by the analyst; a default value of 0.92 can also be used.</t>
  </si>
  <si>
    <t>The proportion of heavy vehicles at the intersection is supplied by the analyst.</t>
  </si>
  <si>
    <t>Movement Volume and Deland</t>
  </si>
  <si>
    <t>Lanes</t>
  </si>
  <si>
    <t>The number of lanes (and the turn designation for each) on each approach is supplied by the analyst.</t>
  </si>
  <si>
    <t>Demand flow rate</t>
  </si>
  <si>
    <t>The demand flow rate is the demand volume divided by the peak hour factor (step 2 of Planning Guide method).</t>
  </si>
  <si>
    <t>Movement Calculations</t>
  </si>
  <si>
    <t>The demand flow rates for all rank 2, 3, and 4 movements are copied from row 11.</t>
  </si>
  <si>
    <t>Conflicting flow rate</t>
  </si>
  <si>
    <r>
      <t>v</t>
    </r>
    <r>
      <rPr>
        <vertAlign val="subscript"/>
        <sz val="11"/>
        <color theme="1"/>
        <rFont val="Calibri"/>
        <family val="2"/>
        <scheme val="minor"/>
      </rPr>
      <t>c</t>
    </r>
  </si>
  <si>
    <t>The conflicting flow rate for each movement is calculated as per step 3 of the Planning Guide method.</t>
  </si>
  <si>
    <t>Critical headway</t>
  </si>
  <si>
    <r>
      <t>t</t>
    </r>
    <r>
      <rPr>
        <vertAlign val="subscript"/>
        <sz val="11"/>
        <color theme="1"/>
        <rFont val="Calibri"/>
        <family val="2"/>
        <scheme val="minor"/>
      </rPr>
      <t>c</t>
    </r>
  </si>
  <si>
    <t>The critical headway for each movement is calculated as per step 4a of the Planning Guide method.</t>
  </si>
  <si>
    <t>CriticalHeadway()</t>
  </si>
  <si>
    <t>Follow up time headway</t>
  </si>
  <si>
    <r>
      <t>t</t>
    </r>
    <r>
      <rPr>
        <vertAlign val="subscript"/>
        <sz val="11"/>
        <color theme="1"/>
        <rFont val="Calibri"/>
        <family val="2"/>
        <scheme val="minor"/>
      </rPr>
      <t>f</t>
    </r>
  </si>
  <si>
    <t>The follow up headway for each movement is calculated as per step 4b of the Planning Guide method.</t>
  </si>
  <si>
    <t>FollowupHeadway()</t>
  </si>
  <si>
    <t>Potential capacity</t>
  </si>
  <si>
    <r>
      <t>c</t>
    </r>
    <r>
      <rPr>
        <vertAlign val="subscript"/>
        <sz val="11"/>
        <color theme="1"/>
        <rFont val="Calibri"/>
        <family val="2"/>
        <scheme val="minor"/>
      </rPr>
      <t>p,x</t>
    </r>
  </si>
  <si>
    <t>The potential capacity for each movement is calculated as per step 5 of the Planning Guide method.</t>
  </si>
  <si>
    <t>PotentialCapacity()</t>
  </si>
  <si>
    <r>
      <t>p</t>
    </r>
    <r>
      <rPr>
        <vertAlign val="subscript"/>
        <sz val="11"/>
        <color theme="1"/>
        <rFont val="Calibri"/>
        <family val="2"/>
        <scheme val="minor"/>
      </rPr>
      <t>0,x</t>
    </r>
  </si>
  <si>
    <t>The probability of a queue free state is calculated as per step 6 of the Planning Guide method.</t>
  </si>
  <si>
    <r>
      <t>f</t>
    </r>
    <r>
      <rPr>
        <vertAlign val="subscript"/>
        <sz val="11"/>
        <color theme="1"/>
        <rFont val="Calibri"/>
        <family val="2"/>
        <scheme val="minor"/>
      </rPr>
      <t>k</t>
    </r>
  </si>
  <si>
    <t>The rank 4 impedance factor is calculated as per step 6 of the Planning Guide method.</t>
  </si>
  <si>
    <t>Rank4ImpedanceAdjustment()</t>
  </si>
  <si>
    <t>Movement capacity</t>
  </si>
  <si>
    <r>
      <t>c</t>
    </r>
    <r>
      <rPr>
        <vertAlign val="subscript"/>
        <sz val="11"/>
        <color theme="1"/>
        <rFont val="Calibri"/>
        <family val="2"/>
        <scheme val="minor"/>
      </rPr>
      <t>m,l</t>
    </r>
  </si>
  <si>
    <t>The movement capacity is calculated as per step 6 of the Planning Guide method.</t>
  </si>
  <si>
    <t>Volume-to-capacity ratio</t>
  </si>
  <si>
    <r>
      <t>(v/c)</t>
    </r>
    <r>
      <rPr>
        <vertAlign val="subscript"/>
        <sz val="11"/>
        <color theme="1"/>
        <rFont val="Calibri"/>
        <family val="2"/>
        <scheme val="minor"/>
      </rPr>
      <t>m</t>
    </r>
  </si>
  <si>
    <t>The volume-to-capacity ratio is calculated as row 14 divided by row 21.</t>
  </si>
  <si>
    <t>Lane or shared lane capacity</t>
  </si>
  <si>
    <r>
      <t>c</t>
    </r>
    <r>
      <rPr>
        <vertAlign val="subscript"/>
        <sz val="11"/>
        <color theme="1"/>
        <rFont val="Calibri"/>
        <family val="2"/>
        <scheme val="minor"/>
      </rPr>
      <t>SH</t>
    </r>
  </si>
  <si>
    <t>The shared lane capacity is calculated if either the LT or RT movements share a lane with the TH movements as per step 7 of the Planning Guide method.</t>
  </si>
  <si>
    <t>CapacityShared()</t>
  </si>
  <si>
    <t>Lane or shared lane volume-to-capacity ratio</t>
  </si>
  <si>
    <r>
      <t>(v/c)</t>
    </r>
    <r>
      <rPr>
        <vertAlign val="subscript"/>
        <sz val="11"/>
        <color theme="1"/>
        <rFont val="Calibri"/>
        <family val="2"/>
        <scheme val="minor"/>
      </rPr>
      <t>SH</t>
    </r>
  </si>
  <si>
    <t>The volume-to-capacity ratio of the shared lane is calculated as per step 7 of the Planning Guide method.</t>
  </si>
  <si>
    <t>vcShared()</t>
  </si>
  <si>
    <t>Control delay</t>
  </si>
  <si>
    <t>The control delay for each movement is calculated using the Planning Guide method.</t>
  </si>
  <si>
    <t>delay()</t>
  </si>
  <si>
    <t>Approach delay</t>
  </si>
  <si>
    <r>
      <t>d</t>
    </r>
    <r>
      <rPr>
        <vertAlign val="subscript"/>
        <sz val="11"/>
        <color theme="1"/>
        <rFont val="Calibri"/>
        <family val="2"/>
        <scheme val="minor"/>
      </rPr>
      <t>A</t>
    </r>
  </si>
  <si>
    <t>The control delay for each approach is calculated using the Planning Guide method.</t>
  </si>
  <si>
    <t>ApproachDelay()</t>
  </si>
  <si>
    <t>Assumptions and Limitations for Planning Method</t>
  </si>
  <si>
    <t>There are no pedestrians at the intersection.</t>
  </si>
  <si>
    <t>There is no median barrier on the major street, so all gap acceptance processes from the minor street occur in one step.</t>
  </si>
  <si>
    <t>The flow on the major street arrives as a random process, with no platooning from any upstream traffic signals.</t>
  </si>
  <si>
    <t>An exclusive lane is provided for left-turning traffic on the major street.</t>
  </si>
  <si>
    <t>Short right turn lanes are not considered.</t>
  </si>
  <si>
    <t>U-turns are not considered.</t>
  </si>
  <si>
    <t>Limitations of Computational Engine</t>
  </si>
  <si>
    <t>Major street includes one LT lane and one or two TH lanes.</t>
  </si>
  <si>
    <t>Minor street includes either one or two lanes.</t>
  </si>
  <si>
    <t>Data Required</t>
  </si>
  <si>
    <t>The demand volumes (veh/h) for each movement.</t>
  </si>
  <si>
    <t>The proportion of heavy vehicles PHV for each movement.</t>
  </si>
  <si>
    <t>The number of lanes (and the turn designation for each) on each approach.</t>
  </si>
  <si>
    <t>The peak hour factor PHF for the intersection, either supplied by the analyst or assuming a default value of 0.92.</t>
  </si>
  <si>
    <r>
      <t>d</t>
    </r>
    <r>
      <rPr>
        <vertAlign val="subscript"/>
        <sz val="12"/>
        <color theme="1"/>
        <rFont val="Calibri"/>
        <family val="2"/>
        <scheme val="minor"/>
      </rPr>
      <t>intersection</t>
    </r>
  </si>
  <si>
    <t>RCUT</t>
  </si>
  <si>
    <t>MUT</t>
  </si>
  <si>
    <t>PMUT</t>
  </si>
  <si>
    <t>CFI OR DLT</t>
  </si>
  <si>
    <t>SINGLE-LANE ROUNDABOUT</t>
  </si>
  <si>
    <t>CONTINUOUS  GREEN -T</t>
  </si>
  <si>
    <t>BOWTIE</t>
  </si>
  <si>
    <t xml:space="preserve">SUMMARY RESULTS FOR </t>
  </si>
  <si>
    <t>Overall Intersection delay</t>
  </si>
  <si>
    <t>TWSC INTERMEDIATE CALCULATIONS</t>
  </si>
  <si>
    <t xml:space="preserve">LANES </t>
  </si>
  <si>
    <t>CRITICAL HEADWAY</t>
  </si>
  <si>
    <t>FOLLOW UP HEADWAY</t>
  </si>
  <si>
    <t>CAP</t>
  </si>
  <si>
    <t>CONFLICTING FLOW RATES FOR THRU+LT FROM MINOR ROAD</t>
  </si>
  <si>
    <t>LANES</t>
  </si>
  <si>
    <t>RANK 4 MOVEMENT FACTORS</t>
  </si>
  <si>
    <t>P0,1</t>
  </si>
  <si>
    <t>P0,4</t>
  </si>
  <si>
    <t>P0,11</t>
  </si>
  <si>
    <t>P0,8</t>
  </si>
  <si>
    <t>P''</t>
  </si>
  <si>
    <t>P'</t>
  </si>
  <si>
    <t>Final</t>
  </si>
  <si>
    <t>avg</t>
  </si>
  <si>
    <t>Demand</t>
  </si>
  <si>
    <t>Included</t>
  </si>
  <si>
    <t>s/veh</t>
  </si>
  <si>
    <t>Cumulative</t>
  </si>
  <si>
    <t>Delay (veh.s)</t>
  </si>
  <si>
    <t>s</t>
  </si>
  <si>
    <t>Including unstopped veh</t>
  </si>
  <si>
    <t>Excuding unstopped veh</t>
  </si>
  <si>
    <t>INPUT HOURLY OLUMES</t>
  </si>
  <si>
    <t>2Q4</t>
  </si>
  <si>
    <r>
      <t xml:space="preserve">MINOR RT LANES AT 26 / 48 QRI </t>
    </r>
    <r>
      <rPr>
        <b/>
        <sz val="11"/>
        <color theme="1"/>
        <rFont val="Calibri"/>
        <family val="2"/>
        <scheme val="minor"/>
      </rPr>
      <t>(&gt;=1 IF SHARED)</t>
    </r>
  </si>
  <si>
    <r>
      <t>MINOR LT LANES AT 26 / 48 QRI</t>
    </r>
    <r>
      <rPr>
        <b/>
        <sz val="11"/>
        <color theme="1"/>
        <rFont val="Calibri"/>
        <family val="2"/>
        <scheme val="minor"/>
      </rPr>
      <t xml:space="preserve"> (ZERO IF SHARED)</t>
    </r>
  </si>
  <si>
    <t>Phasing Pattern at QRI on 26</t>
  </si>
  <si>
    <t>6Q4</t>
  </si>
  <si>
    <t>E-W</t>
  </si>
  <si>
    <t>N-S</t>
  </si>
  <si>
    <t>OVERALL DELAY</t>
  </si>
  <si>
    <t>6Q8</t>
  </si>
  <si>
    <r>
      <t>MINOR RT LANES AT 26 / 48 QRI</t>
    </r>
    <r>
      <rPr>
        <sz val="9"/>
        <color theme="1"/>
        <rFont val="Calibri"/>
        <family val="2"/>
        <scheme val="minor"/>
      </rPr>
      <t xml:space="preserve"> </t>
    </r>
    <r>
      <rPr>
        <b/>
        <sz val="9"/>
        <color theme="1"/>
        <rFont val="Calibri"/>
        <family val="2"/>
        <scheme val="minor"/>
      </rPr>
      <t>(&gt;=1 IF SHARED)</t>
    </r>
  </si>
  <si>
    <r>
      <t>MINOR LT LANES AT 26 / 48 QRI</t>
    </r>
    <r>
      <rPr>
        <b/>
        <sz val="11"/>
        <color theme="1"/>
        <rFont val="Calibri"/>
        <family val="2"/>
        <scheme val="minor"/>
      </rPr>
      <t xml:space="preserve"> </t>
    </r>
    <r>
      <rPr>
        <b/>
        <sz val="9"/>
        <color theme="1"/>
        <rFont val="Calibri"/>
        <family val="2"/>
        <scheme val="minor"/>
      </rPr>
      <t>(ZERO IF SHARED)</t>
    </r>
  </si>
  <si>
    <t>Average Control Delay</t>
  </si>
  <si>
    <t xml:space="preserve"> MINOR LEFT TURN GREEN 4-6 </t>
  </si>
  <si>
    <t>MINOR LT GREEN 8-2</t>
  </si>
  <si>
    <t>@2 &amp;4</t>
  </si>
  <si>
    <t>@6 &amp;8</t>
  </si>
  <si>
    <t>MAJOR RD THROUGH LANES</t>
  </si>
  <si>
    <t>MAJOR RD RT RIGHT LANES</t>
  </si>
  <si>
    <t>MINOR RD THROUGH LANES</t>
  </si>
  <si>
    <t>MINOR RD RT LANES</t>
  </si>
  <si>
    <t>ENTRY &amp; EXIT LANES AT BOWTIE</t>
  </si>
  <si>
    <t>CIRCULATING LANES AT BOWTIE</t>
  </si>
  <si>
    <t>MAJOR RD THROUGH VOLUME</t>
  </si>
  <si>
    <t xml:space="preserve">MAJOR RD RT RIGHT VOLUME </t>
  </si>
  <si>
    <t>MINOR RD THROUGH VOLUME</t>
  </si>
  <si>
    <t>MINOR RD RT VOLUME</t>
  </si>
  <si>
    <t>THROUGH EXIT VOLUME AT BOWTIE</t>
  </si>
  <si>
    <t>U-TURN VOLUME AT BOWTIE</t>
  </si>
  <si>
    <t>MAJOR RD THROUGH FLOW RATIO</t>
  </si>
  <si>
    <t>ROUNDABOUT CAPACITY PARAMETERS</t>
  </si>
  <si>
    <t xml:space="preserve">MAJOR RD RT RIGHT FLOW RATIO </t>
  </si>
  <si>
    <t>CIRCULATING LANES</t>
  </si>
  <si>
    <t>MINOR RD THROUGH FLOW RATIO</t>
  </si>
  <si>
    <t>APPROACH LANES</t>
  </si>
  <si>
    <t>MINOR RD RT FLOW RATIO</t>
  </si>
  <si>
    <t>INTERCEPT</t>
  </si>
  <si>
    <t>OVERALL EXIT CAPACITY</t>
  </si>
  <si>
    <t>SLOPE</t>
  </si>
  <si>
    <t>OEVERALL ENTRY V/C RATIO AT BOWTIE</t>
  </si>
  <si>
    <t xml:space="preserve">                                      SIGNAL PLANNING MODULE</t>
  </si>
  <si>
    <t>INPUT LANE COMBINATION @ 4</t>
  </si>
  <si>
    <t xml:space="preserve">CRITICAL FLOW RATIO </t>
  </si>
  <si>
    <t>CAPACITY PARAMETERS</t>
  </si>
  <si>
    <t>INPUT LANE COMBINATION @ 8</t>
  </si>
  <si>
    <t>MAJOR RD THROUGH DELAY</t>
  </si>
  <si>
    <t xml:space="preserve">MAJOR RD RT RIGHT DELAY </t>
  </si>
  <si>
    <t>MINOR RD THROUGH DELAY</t>
  </si>
  <si>
    <t>MINOR RD RT DELAY</t>
  </si>
  <si>
    <t>Demand volume (includes multiplier)</t>
  </si>
  <si>
    <t>LOS BASED ON DELAY</t>
  </si>
  <si>
    <t>EXCLUDING CONTINUOUS GREEN</t>
  </si>
  <si>
    <t>LUF</t>
  </si>
  <si>
    <t>MAJOR THROUGH LANES 26</t>
  </si>
  <si>
    <t>MAJOR THROUGH LANES 62</t>
  </si>
  <si>
    <t>MAJOR LT LANES 24</t>
  </si>
  <si>
    <t>MAJOR RT LANES 64</t>
  </si>
  <si>
    <t>MINOR RT LANES 42</t>
  </si>
  <si>
    <t xml:space="preserve">MINOR LT LANES 46 </t>
  </si>
  <si>
    <t xml:space="preserve">DEMAND VOLUMES </t>
  </si>
  <si>
    <t>MAJOR THROUGH VOLUME 26</t>
  </si>
  <si>
    <t>MAJOR THROUGH VOLUME 62</t>
  </si>
  <si>
    <t>MAJOR LT VOLUME 24</t>
  </si>
  <si>
    <t>MAJOR RT VOLUME 64</t>
  </si>
  <si>
    <t>MINOR RT VOLUME 42</t>
  </si>
  <si>
    <t xml:space="preserve">MINOR LT VOLUME 46 </t>
  </si>
  <si>
    <t>SUM OF CRITICAL LANE VOLUMES</t>
  </si>
  <si>
    <t>MAJOR THROUGH FLOW RATIO 26</t>
  </si>
  <si>
    <t>MAJOR THROUGH FLOW RATIO 62</t>
  </si>
  <si>
    <t>MAJOR LT FLOW RATIO 24</t>
  </si>
  <si>
    <t>MAJOR RT FLOW RATIO 64</t>
  </si>
  <si>
    <t>MINOR RT FLOW RATIO 42</t>
  </si>
  <si>
    <t xml:space="preserve">MINOR LT FLOW RATIO 46 </t>
  </si>
  <si>
    <t>MAJOR THROUGH GREEN TIME 26</t>
  </si>
  <si>
    <t>MAJOR THROUGH GREEN TIME 62</t>
  </si>
  <si>
    <t>MAJOR LT GREEN TIME 24</t>
  </si>
  <si>
    <t>IF FSIG PLAN GIVEN =1</t>
  </si>
  <si>
    <t>MAJOR RT GREEN TIME 64</t>
  </si>
  <si>
    <t>MINOR RT GREEN TIME 42</t>
  </si>
  <si>
    <t xml:space="preserve">MINOR LT GREEN TIME 46 </t>
  </si>
  <si>
    <t>CAPACITY</t>
  </si>
  <si>
    <t xml:space="preserve">             GREEN TIMES USED</t>
  </si>
  <si>
    <t>MAJOR THROUGH V/C RATIO 26</t>
  </si>
  <si>
    <t>MAJOR THROUGH V/C RATIO 62</t>
  </si>
  <si>
    <t>MAJOR LT V/C RATIO 24</t>
  </si>
  <si>
    <t>MAJOR RT V/C RATIO 64</t>
  </si>
  <si>
    <t>MINOR RT V/C RATIO 42</t>
  </si>
  <si>
    <t xml:space="preserve">MINOR LT V/C RATIO 46 </t>
  </si>
  <si>
    <t>MAJOR THROUGH DELAY 26</t>
  </si>
  <si>
    <t>MAJOR THROUGH DELAY 62</t>
  </si>
  <si>
    <t>MAJOR LT DELAY 24</t>
  </si>
  <si>
    <t>MAJOR RT DELAY 64</t>
  </si>
  <si>
    <t>MINOR RT DELAY 42</t>
  </si>
  <si>
    <t xml:space="preserve">MINOR LT DELAY 46 </t>
  </si>
  <si>
    <t>v/c Ratio</t>
  </si>
  <si>
    <t>OVERALL INT DELAY (EXCLUDING CONT.GREEN)</t>
  </si>
  <si>
    <t>MAJOR THROUGH 95TH QUEUE 26</t>
  </si>
  <si>
    <t>MAJOR THROUGH 95TH QUEUE 62</t>
  </si>
  <si>
    <t>MAJOR LT 95TH QUEUE 24</t>
  </si>
  <si>
    <t>MAJOR RT 95TH QUEUE 64</t>
  </si>
  <si>
    <t>MINOR RT 95TH QUEUE 42</t>
  </si>
  <si>
    <t xml:space="preserve">MINOR LT 95TH QUEUE 46 </t>
  </si>
  <si>
    <t>MINOR THRU LANES AT 4</t>
  </si>
  <si>
    <t>MINOR THRU LANES AT 8</t>
  </si>
  <si>
    <t>MINOR LT LANES AT 4</t>
  </si>
  <si>
    <t>MINOT LT LANES AT 8</t>
  </si>
  <si>
    <t>MINOR THRU VOLUME AT 4</t>
  </si>
  <si>
    <t>MINOR THRU VOLUME AT 8</t>
  </si>
  <si>
    <t>Permissive Left Turns</t>
  </si>
  <si>
    <t>MAJOR THROUGH FLOW RATIO 2-6</t>
  </si>
  <si>
    <t>MAJOR THROUGH FLOW RATIO 6-2</t>
  </si>
  <si>
    <t>MINOR THRU FLOW RATIO AT 4</t>
  </si>
  <si>
    <t>MINOR THRU FLOW RATIO AT 8</t>
  </si>
  <si>
    <t>MINOR LT FLOW RATIO AT 4</t>
  </si>
  <si>
    <t>MINOT LT FLOW RATIO AT 8</t>
  </si>
  <si>
    <t>MINOR RT FLOW RATIO  4-2</t>
  </si>
  <si>
    <t>MINOR RT  FLOW RATIO 8-6</t>
  </si>
  <si>
    <t>MINOR STREET GREEN 4</t>
  </si>
  <si>
    <t>MINOR STREET GREEN 8</t>
  </si>
  <si>
    <t>MAJOR THROUGH V/C RATIO 2-6</t>
  </si>
  <si>
    <t>MAJOR THROUGH V/C RATIO 6-2</t>
  </si>
  <si>
    <t>MINOR THRU V/C RATIO AT 4</t>
  </si>
  <si>
    <t>MINOR THRU V/C RATIO AT 8</t>
  </si>
  <si>
    <t>MINOR LT V/C RATIO AT 4</t>
  </si>
  <si>
    <t>MINOT LT V/C RATIO AT 8</t>
  </si>
  <si>
    <t>MINOR RT V/C RATIO  4-2</t>
  </si>
  <si>
    <t>MINOR THRU DELAY AT 4</t>
  </si>
  <si>
    <t>MINOR THRU DELAY AT 8</t>
  </si>
  <si>
    <t>MINOR LT DELAY AT 4</t>
  </si>
  <si>
    <t>MINOT LT DELAY AT 8</t>
  </si>
  <si>
    <t>MAJOR THROUGH 95TH QUEUE 2-6</t>
  </si>
  <si>
    <t>MAJOR THROUGH 95TH QUEUE 6-2</t>
  </si>
  <si>
    <t>MINOR THRU 95TH QUEUE AT 4</t>
  </si>
  <si>
    <t>MINOR THRU 95TH QUEUE AT 8</t>
  </si>
  <si>
    <t>MINOR LT 95TH QUEUE AT 4</t>
  </si>
  <si>
    <t>MINOT LT 95TH QUEUE AT 8</t>
  </si>
  <si>
    <t>MINOR RT 95TH QUEUE  4-2</t>
  </si>
  <si>
    <t>MAJOR RT LANES 2-8</t>
  </si>
  <si>
    <t>MAJOR RT LANES 6-4</t>
  </si>
  <si>
    <t>MINOR UT LANES</t>
  </si>
  <si>
    <t>MINOR RT LANES AT 4</t>
  </si>
  <si>
    <t>MINOR RT LANES AT 8</t>
  </si>
  <si>
    <t>MINOR RT VOLUME  AT 4</t>
  </si>
  <si>
    <t>MINOR RT  VOLUME AT 8</t>
  </si>
  <si>
    <t>IN CALCULATIONS</t>
  </si>
  <si>
    <t>Table: Permitted Left Turn Factors</t>
  </si>
  <si>
    <t>Table: Through car Equivalents for rights</t>
  </si>
  <si>
    <t>Low</t>
  </si>
  <si>
    <t>Medium</t>
  </si>
  <si>
    <t>High</t>
  </si>
  <si>
    <t>Very High</t>
  </si>
  <si>
    <t>Table: Adjustment for Parking</t>
  </si>
  <si>
    <t>Yes</t>
  </si>
  <si>
    <t>Table: Lane Utilization Factors</t>
  </si>
  <si>
    <t>Thru</t>
  </si>
  <si>
    <t>Left</t>
  </si>
  <si>
    <t>Right</t>
  </si>
  <si>
    <t>EW</t>
  </si>
  <si>
    <t>NS</t>
  </si>
  <si>
    <t>EWL</t>
  </si>
  <si>
    <t>EW TH</t>
  </si>
  <si>
    <t>NS LT</t>
  </si>
  <si>
    <t>NS TH</t>
  </si>
  <si>
    <t>Number of Lanes</t>
  </si>
  <si>
    <t>Adjusted</t>
  </si>
  <si>
    <t>Capacity</t>
  </si>
  <si>
    <t>No</t>
  </si>
  <si>
    <t>EXCLUSIVE LT LANES MUST BE PROVIDED ON THE MAIN STREET</t>
  </si>
  <si>
    <t>P0,12</t>
  </si>
  <si>
    <t>P0,9</t>
  </si>
  <si>
    <t>Unstopped Vehicles</t>
  </si>
  <si>
    <t>total vehicles</t>
  </si>
  <si>
    <t>excluding unstopped</t>
  </si>
  <si>
    <t>DELAY COMPUTATIONS</t>
  </si>
  <si>
    <t>Max d/c</t>
  </si>
  <si>
    <t>Path 264</t>
  </si>
  <si>
    <t>Path 628</t>
  </si>
  <si>
    <t>Roundabouts Planning Method (Multi-Lane Roundabout)</t>
  </si>
  <si>
    <t>Slip lanes also not included- if present, subtract free RT from the RT volumes</t>
  </si>
  <si>
    <t>LTR</t>
  </si>
  <si>
    <t>LT-TR</t>
  </si>
  <si>
    <t>L-LTR</t>
  </si>
  <si>
    <t>CODING THE DESIGNATED LANE ASSIGNMENTS- PPEAG EXHIBIT 90</t>
  </si>
  <si>
    <t>PLANNING METHOD LIMITATIONS</t>
  </si>
  <si>
    <t>Volume  (including multiplier effect)</t>
  </si>
  <si>
    <t>Intercept term (A)</t>
  </si>
  <si>
    <t>L-TR</t>
  </si>
  <si>
    <t>LT-R</t>
  </si>
  <si>
    <t>Left-Lane</t>
  </si>
  <si>
    <t>Right Lane</t>
  </si>
  <si>
    <t>Single Lane</t>
  </si>
  <si>
    <t>Ped Label</t>
  </si>
  <si>
    <t>Max Ped Vol</t>
  </si>
  <si>
    <t>CRITICAL FLOW RATIO</t>
  </si>
  <si>
    <t>MAJOR RT V/C AT 2-8 MAIN</t>
  </si>
  <si>
    <t>MAJOR RT V/C AT 6-4 MAIN</t>
  </si>
  <si>
    <t>MAJOR RT DELAYS AT 2-8 MAIN</t>
  </si>
  <si>
    <t>MAJOR RT DELAY AT 6-4 MAIN</t>
  </si>
  <si>
    <t>MAJOR RT 95% QUEUES AT 2-8 MAIN</t>
  </si>
  <si>
    <t>MAJOR RT 95% QUEUE AT 6-4 MAIN</t>
  </si>
  <si>
    <t>MAJOR RT VOLUMES AT6-4 MAIN</t>
  </si>
  <si>
    <t>MAJOR RT VOLUME AT 2-8 MAIN</t>
  </si>
  <si>
    <t>MINOR LT VOLUME AT 4 (IN TPC)</t>
  </si>
  <si>
    <t>MINOT LT VOLUME AT 8 (IN TPC)</t>
  </si>
  <si>
    <t>LT Factor</t>
  </si>
  <si>
    <t>Opposing Flow Rate</t>
  </si>
  <si>
    <t xml:space="preserve">         INTERSECTION CONTROL TYPE</t>
  </si>
  <si>
    <t>4Q6</t>
  </si>
  <si>
    <t>Multiplier</t>
  </si>
  <si>
    <t>.</t>
  </si>
  <si>
    <t xml:space="preserve">  </t>
  </si>
  <si>
    <t>PLEASE ROTATE FIGURE SO THAT MOVEMENT # 2 IS ALIGNED PROPERLY IN THE</t>
  </si>
  <si>
    <t>Move Arrow to point to North</t>
  </si>
  <si>
    <t xml:space="preserve">Major Road Split </t>
  </si>
  <si>
    <t>Capacity Exponent(B)</t>
  </si>
  <si>
    <r>
      <t xml:space="preserve">Zeroed out in the case of </t>
    </r>
    <r>
      <rPr>
        <b/>
        <sz val="12"/>
        <rFont val="Calibri"/>
        <family val="2"/>
        <scheme val="minor"/>
      </rPr>
      <t>CGT</t>
    </r>
  </si>
  <si>
    <t>Volume Factor</t>
  </si>
  <si>
    <t>8Q6</t>
  </si>
  <si>
    <t>8Q2</t>
  </si>
  <si>
    <t>4Q2</t>
  </si>
  <si>
    <t>***</t>
  </si>
  <si>
    <t>ratio</t>
  </si>
  <si>
    <t>MINOR RT/U-TURN VOL</t>
  </si>
  <si>
    <t>**</t>
  </si>
  <si>
    <t xml:space="preserve">PROOTECTED  CELLS !! </t>
  </si>
  <si>
    <t>Converted into</t>
  </si>
  <si>
    <t>Equilavent TPCs</t>
  </si>
  <si>
    <t>Zeroed for DDI</t>
  </si>
  <si>
    <t>DDI*</t>
  </si>
  <si>
    <t>*</t>
  </si>
  <si>
    <t xml:space="preserve">Average Control Delay </t>
  </si>
  <si>
    <t>`</t>
  </si>
  <si>
    <r>
      <t xml:space="preserve">Those inputs in each tab usually include the </t>
    </r>
    <r>
      <rPr>
        <b/>
        <sz val="12"/>
        <color rgb="FFFF0000"/>
        <rFont val="Calibri"/>
        <family val="2"/>
        <scheme val="minor"/>
      </rPr>
      <t>LANE GEOMETRY</t>
    </r>
    <r>
      <rPr>
        <sz val="12"/>
        <color theme="1"/>
        <rFont val="Calibri"/>
        <family val="2"/>
        <scheme val="minor"/>
      </rPr>
      <t xml:space="preserve"> and the selected  </t>
    </r>
  </si>
  <si>
    <r>
      <t xml:space="preserve">volumes before entering  them in the </t>
    </r>
    <r>
      <rPr>
        <b/>
        <sz val="12"/>
        <color rgb="FFFF0000"/>
        <rFont val="Calibri"/>
        <family val="2"/>
        <scheme val="minor"/>
      </rPr>
      <t>Turning Movement Counts</t>
    </r>
    <r>
      <rPr>
        <sz val="12"/>
        <color theme="1"/>
        <rFont val="Calibri"/>
        <family val="2"/>
        <scheme val="minor"/>
      </rPr>
      <t xml:space="preserve"> </t>
    </r>
    <r>
      <rPr>
        <b/>
        <sz val="12"/>
        <color rgb="FFFF0000"/>
        <rFont val="Calibri"/>
        <family val="2"/>
        <scheme val="minor"/>
      </rPr>
      <t>Table</t>
    </r>
    <r>
      <rPr>
        <sz val="12"/>
        <color theme="1"/>
        <rFont val="Calibri"/>
        <family val="2"/>
        <scheme val="minor"/>
      </rPr>
      <t xml:space="preserve"> to the right</t>
    </r>
  </si>
  <si>
    <t>SUMMARY OUTPUT MODULE</t>
  </si>
  <si>
    <t>Arrival Type</t>
  </si>
  <si>
    <t>Default Rp</t>
  </si>
  <si>
    <t>Rp</t>
  </si>
  <si>
    <t>MAIN INTERSECTION 48</t>
  </si>
  <si>
    <t>QRI  LEG ON 2-6</t>
  </si>
  <si>
    <t>QRI LEG ON 4-8</t>
  </si>
  <si>
    <t>QRI LEG  ON 2-6</t>
  </si>
  <si>
    <t>QRI LEG  ON 4-8</t>
  </si>
  <si>
    <t>QRI  LEG ON 4-8</t>
  </si>
  <si>
    <t>LANE CONFIGURATION</t>
  </si>
  <si>
    <t>Jughandle Leg at  4</t>
  </si>
  <si>
    <t>Jughandle leg at 8</t>
  </si>
  <si>
    <t>Jughandle Leg  Near 8</t>
  </si>
  <si>
    <t>JughandleLeg Near 4</t>
  </si>
  <si>
    <t>MAJOR THROUGH PF 26</t>
  </si>
  <si>
    <t>MAJOR THROUGH PF 62</t>
  </si>
  <si>
    <t>MAJOR LT PF 24</t>
  </si>
  <si>
    <t>MAJOR RT PF 64</t>
  </si>
  <si>
    <t>MINOR RT PF 42</t>
  </si>
  <si>
    <t xml:space="preserve">MINOR LT PF 46 </t>
  </si>
  <si>
    <t>MAJOR RD THROUGH PF</t>
  </si>
  <si>
    <t>MAJOR RD RT RIGHT PF</t>
  </si>
  <si>
    <t>MINOR RD THROUGHPF</t>
  </si>
  <si>
    <t>MINOR RD RTPF</t>
  </si>
  <si>
    <t xml:space="preserve">Actual EW utilized CLV= </t>
  </si>
  <si>
    <t xml:space="preserve">                             Actual NS utilized CLV= </t>
  </si>
  <si>
    <t>Overall=</t>
  </si>
  <si>
    <t>Split Phasing Index (1= Active)</t>
  </si>
  <si>
    <r>
      <t xml:space="preserve">Enter any cycle length in </t>
    </r>
    <r>
      <rPr>
        <b/>
        <sz val="12"/>
        <color theme="1"/>
        <rFont val="Calibri"/>
        <family val="2"/>
        <scheme val="minor"/>
      </rPr>
      <t xml:space="preserve">Cell  D46 </t>
    </r>
  </si>
  <si>
    <t>Relevant Movement Green Time (S)</t>
  </si>
  <si>
    <t>Average demand per cycle (tpc)</t>
  </si>
  <si>
    <r>
      <t xml:space="preserve">In any TAB-the </t>
    </r>
    <r>
      <rPr>
        <b/>
        <sz val="12"/>
        <color rgb="FFFF0000"/>
        <rFont val="Calibri"/>
        <family val="2"/>
        <scheme val="minor"/>
      </rPr>
      <t>Required Inputs</t>
    </r>
    <r>
      <rPr>
        <sz val="12"/>
        <color theme="1"/>
        <rFont val="Calibri"/>
        <family val="2"/>
        <scheme val="minor"/>
      </rPr>
      <t xml:space="preserve"> are always shown in</t>
    </r>
    <r>
      <rPr>
        <b/>
        <sz val="12"/>
        <color rgb="FFFF0000"/>
        <rFont val="Calibri"/>
        <family val="2"/>
        <scheme val="minor"/>
      </rPr>
      <t xml:space="preserve"> RED text </t>
    </r>
    <r>
      <rPr>
        <sz val="12"/>
        <color theme="1"/>
        <rFont val="Calibri"/>
        <family val="2"/>
        <scheme val="minor"/>
      </rPr>
      <t xml:space="preserve"> with Yellow Background</t>
    </r>
  </si>
  <si>
    <r>
      <t>intersections</t>
    </r>
    <r>
      <rPr>
        <b/>
        <sz val="12"/>
        <color rgb="FFFF0000"/>
        <rFont val="Calibri"/>
        <family val="2"/>
        <scheme val="minor"/>
      </rPr>
      <t xml:space="preserve"> CYCLE LENGTHS</t>
    </r>
    <r>
      <rPr>
        <sz val="12"/>
        <color theme="1"/>
        <rFont val="Calibri"/>
        <family val="2"/>
        <scheme val="minor"/>
      </rPr>
      <t xml:space="preserve">. Green times MUST also be entered but </t>
    </r>
    <r>
      <rPr>
        <b/>
        <sz val="12"/>
        <color rgb="FFFF0000"/>
        <rFont val="Calibri"/>
        <family val="2"/>
        <scheme val="minor"/>
      </rPr>
      <t>only  IF</t>
    </r>
    <r>
      <rPr>
        <sz val="12"/>
        <color theme="1"/>
        <rFont val="Calibri"/>
        <family val="2"/>
        <scheme val="minor"/>
      </rPr>
      <t xml:space="preserve"> that option is picked</t>
    </r>
  </si>
  <si>
    <t>Opposing</t>
  </si>
  <si>
    <r>
      <rPr>
        <b/>
        <sz val="12"/>
        <color theme="1"/>
        <rFont val="Calibri"/>
        <family val="2"/>
        <scheme val="minor"/>
      </rPr>
      <t>Base</t>
    </r>
    <r>
      <rPr>
        <sz val="12"/>
        <color theme="1"/>
        <rFont val="Calibri"/>
        <family val="2"/>
        <scheme val="minor"/>
      </rPr>
      <t xml:space="preserve"> saturation flow rate per lane</t>
    </r>
  </si>
  <si>
    <t>QUADRANT 24</t>
  </si>
  <si>
    <t>QUADRANT 64</t>
  </si>
  <si>
    <t>QUADRANT 68</t>
  </si>
  <si>
    <t>ENTRY VOLUME AT BOWTIE</t>
  </si>
  <si>
    <t>Intersection Maximum Allowable CLV</t>
  </si>
  <si>
    <t>MAJOR THROUGH V/C 2-6</t>
  </si>
  <si>
    <t>MINOR THROUGH LANES 4-8</t>
  </si>
  <si>
    <t>MINOR THROUGH LANES 8-4</t>
  </si>
  <si>
    <t>Progression quality Platoon Ratio</t>
  </si>
  <si>
    <t>BOWTIE @ 4</t>
  </si>
  <si>
    <t>BOWTIE @ 8</t>
  </si>
  <si>
    <r>
      <rPr>
        <b/>
        <sz val="11"/>
        <color theme="1"/>
        <rFont val="Calibri"/>
        <family val="2"/>
        <scheme val="minor"/>
      </rPr>
      <t>Exception:</t>
    </r>
    <r>
      <rPr>
        <sz val="11"/>
        <color theme="1"/>
        <rFont val="Calibri"/>
        <family val="2"/>
        <scheme val="minor"/>
      </rPr>
      <t xml:space="preserve"> At a </t>
    </r>
    <r>
      <rPr>
        <b/>
        <sz val="12"/>
        <color theme="1"/>
        <rFont val="Calibri"/>
        <family val="2"/>
        <scheme val="minor"/>
      </rPr>
      <t>DDI</t>
    </r>
    <r>
      <rPr>
        <sz val="11"/>
        <color theme="1"/>
        <rFont val="Calibri"/>
        <family val="2"/>
        <scheme val="minor"/>
      </rPr>
      <t xml:space="preserve">, </t>
    </r>
    <r>
      <rPr>
        <b/>
        <sz val="11"/>
        <color theme="1"/>
        <rFont val="Calibri"/>
        <family val="2"/>
        <scheme val="minor"/>
      </rPr>
      <t>Node 2 and Node 6 connect the FREEWAY</t>
    </r>
    <r>
      <rPr>
        <sz val="11"/>
        <color theme="1"/>
        <rFont val="Calibri"/>
        <family val="2"/>
        <scheme val="minor"/>
      </rPr>
      <t xml:space="preserve"> mainline, while Nodes 4 and 8 are on the </t>
    </r>
    <r>
      <rPr>
        <b/>
        <sz val="11"/>
        <color theme="1"/>
        <rFont val="Calibri"/>
        <family val="2"/>
        <scheme val="minor"/>
      </rPr>
      <t>ARTERIAL.</t>
    </r>
  </si>
  <si>
    <r>
      <rPr>
        <b/>
        <sz val="11"/>
        <color theme="1"/>
        <rFont val="Calibri"/>
        <family val="2"/>
        <scheme val="minor"/>
      </rPr>
      <t xml:space="preserve">Exception: </t>
    </r>
    <r>
      <rPr>
        <sz val="11"/>
        <color theme="1"/>
        <rFont val="Calibri"/>
        <family val="2"/>
        <scheme val="minor"/>
      </rPr>
      <t xml:space="preserve">In the </t>
    </r>
    <r>
      <rPr>
        <b/>
        <sz val="11"/>
        <color theme="1"/>
        <rFont val="Calibri"/>
        <family val="2"/>
        <scheme val="minor"/>
      </rPr>
      <t>Continuous Green T (CGT)</t>
    </r>
    <r>
      <rPr>
        <sz val="11"/>
        <color theme="1"/>
        <rFont val="Calibri"/>
        <family val="2"/>
        <scheme val="minor"/>
      </rPr>
      <t>, all volumes to and from Node 8 are zeroed out;</t>
    </r>
  </si>
  <si>
    <t>GENERAL STRUCTURE OF PPEAG-ICE METHOD PROCESS</t>
  </si>
  <si>
    <t>PHF, %HV, FFS, distances, etc.</t>
  </si>
  <si>
    <t>Extracts volume and other inputs from Global Inputs tab.</t>
  </si>
  <si>
    <t>taken from the intersection performance measures.</t>
  </si>
  <si>
    <t>Outputs adjusted intersection turning movements</t>
  </si>
  <si>
    <t>sends those back to the movement-based module.</t>
  </si>
  <si>
    <t>Project name OR major and minor road names</t>
  </si>
  <si>
    <t>Peak hour factor (PHF)</t>
  </si>
  <si>
    <t>% heavy vehicles</t>
  </si>
  <si>
    <r>
      <rPr>
        <u/>
        <sz val="12"/>
        <color theme="1"/>
        <rFont val="Calibri"/>
        <family val="2"/>
        <scheme val="minor"/>
      </rPr>
      <t>Distance</t>
    </r>
    <r>
      <rPr>
        <sz val="12"/>
        <color theme="1"/>
        <rFont val="Calibri"/>
        <family val="2"/>
        <scheme val="minor"/>
      </rPr>
      <t>: Main intersection to ANY supplemental intersections</t>
    </r>
  </si>
  <si>
    <t>Minimum PRACTICAL cycle length used AT SIGNALS</t>
  </si>
  <si>
    <t>Maximum PRACTICAL cycle length used AT SIGNALS</t>
  </si>
  <si>
    <t>pc/h/ln</t>
  </si>
  <si>
    <t>ft/ln</t>
  </si>
  <si>
    <t>Max allowable queue (veh)</t>
  </si>
  <si>
    <t xml:space="preserve">Coordination arrival type on major road (1=poor; 6=outstanding) </t>
  </si>
  <si>
    <t>Volume growth/reduction factor (Multiplier, default=1.0)***</t>
  </si>
  <si>
    <t>Regardless whether the user enters 1 or 0 here</t>
  </si>
  <si>
    <r>
      <t>(a) The PPEAG ICE  tool will propose a local cycle length at each intersection for a given control type</t>
    </r>
    <r>
      <rPr>
        <b/>
        <i/>
        <sz val="12"/>
        <color theme="1"/>
        <rFont val="Calibri"/>
        <family val="2"/>
        <scheme val="minor"/>
      </rPr>
      <t>…HOWEVER</t>
    </r>
  </si>
  <si>
    <r>
      <t xml:space="preserve">(b) The user MUST nevertheless enter the desired cycle length </t>
    </r>
    <r>
      <rPr>
        <b/>
        <i/>
        <sz val="12"/>
        <color theme="1"/>
        <rFont val="Calibri"/>
        <family val="2"/>
        <scheme val="minor"/>
      </rPr>
      <t xml:space="preserve">MANUALLY </t>
    </r>
    <r>
      <rPr>
        <i/>
        <sz val="12"/>
        <color theme="1"/>
        <rFont val="Calibri"/>
        <family val="2"/>
        <scheme val="minor"/>
      </rPr>
      <t>at each intersection in each tab</t>
    </r>
  </si>
  <si>
    <t>Enter all 12 original turning movement volumes (veh/h)</t>
  </si>
  <si>
    <t xml:space="preserve">All Node 8 demand </t>
  </si>
  <si>
    <t xml:space="preserve">volumes should be </t>
  </si>
  <si>
    <t>TWO-WAY STOP CONTROL</t>
  </si>
  <si>
    <t>MULTI-LANE ROUNDABOUT</t>
  </si>
  <si>
    <t>SOME MOVEMENT(S)     HAVE  V/C &gt; 1?</t>
  </si>
  <si>
    <t>INCLUDED  IN SUMMARY? (Y/N)</t>
  </si>
  <si>
    <t>CONVENTIONAL TRAFFIC SIGNAL</t>
  </si>
  <si>
    <t xml:space="preserve"> DIRECTION MAJOR ROAD  2–&gt;6</t>
  </si>
  <si>
    <r>
      <t>Indicates that</t>
    </r>
    <r>
      <rPr>
        <b/>
        <sz val="14"/>
        <color theme="1"/>
        <rFont val="Calibri"/>
        <family val="2"/>
        <scheme val="minor"/>
      </rPr>
      <t xml:space="preserve"> at least one movement</t>
    </r>
    <r>
      <rPr>
        <sz val="14"/>
        <color theme="1"/>
        <rFont val="Calibri"/>
        <family val="2"/>
        <scheme val="minor"/>
      </rPr>
      <t xml:space="preserve"> has a demand-to-capacity ratio exceeding 1.0:</t>
    </r>
  </si>
  <si>
    <t>Please proceed to the intersection's tab to investigate and possibly mitigate.</t>
  </si>
  <si>
    <t>*DDI major road (freeway) through movements zeroed out</t>
  </si>
  <si>
    <t>Total Intersection Entering Volume (veh/h)</t>
  </si>
  <si>
    <r>
      <t xml:space="preserve">Select </t>
    </r>
    <r>
      <rPr>
        <b/>
        <sz val="11"/>
        <color theme="1"/>
        <rFont val="Calibri"/>
        <family val="2"/>
        <scheme val="minor"/>
      </rPr>
      <t>DATA</t>
    </r>
    <r>
      <rPr>
        <sz val="11"/>
        <color theme="1"/>
        <rFont val="Calibri"/>
        <family val="2"/>
        <scheme val="minor"/>
      </rPr>
      <t xml:space="preserve"> from the menu bar and then click </t>
    </r>
    <r>
      <rPr>
        <b/>
        <sz val="11"/>
        <color theme="1"/>
        <rFont val="Calibri"/>
        <family val="2"/>
        <scheme val="minor"/>
      </rPr>
      <t>SOLVER</t>
    </r>
  </si>
  <si>
    <r>
      <t xml:space="preserve">SOLVER is currently set to optimize cycle length between </t>
    </r>
    <r>
      <rPr>
        <b/>
        <sz val="12"/>
        <color theme="1"/>
        <rFont val="Calibri"/>
        <family val="2"/>
        <scheme val="minor"/>
      </rPr>
      <t>60</t>
    </r>
    <r>
      <rPr>
        <sz val="11"/>
        <color theme="1"/>
        <rFont val="Calibri"/>
        <family val="2"/>
        <scheme val="minor"/>
      </rPr>
      <t xml:space="preserve"> and </t>
    </r>
    <r>
      <rPr>
        <b/>
        <sz val="12"/>
        <color theme="1"/>
        <rFont val="Calibri"/>
        <family val="2"/>
        <scheme val="minor"/>
      </rPr>
      <t xml:space="preserve">200 </t>
    </r>
    <r>
      <rPr>
        <sz val="11"/>
        <color theme="1"/>
        <rFont val="Calibri"/>
        <family val="2"/>
        <scheme val="minor"/>
      </rPr>
      <t>sec</t>
    </r>
  </si>
  <si>
    <r>
      <t xml:space="preserve">Click </t>
    </r>
    <r>
      <rPr>
        <b/>
        <sz val="11"/>
        <color theme="1"/>
        <rFont val="Calibri"/>
        <family val="2"/>
        <scheme val="minor"/>
      </rPr>
      <t xml:space="preserve">SOLVE </t>
    </r>
    <r>
      <rPr>
        <sz val="11"/>
        <color theme="1"/>
        <rFont val="Calibri"/>
        <family val="2"/>
        <scheme val="minor"/>
      </rPr>
      <t xml:space="preserve">on the solver menu using </t>
    </r>
    <r>
      <rPr>
        <b/>
        <sz val="12"/>
        <color theme="1"/>
        <rFont val="Calibri"/>
        <family val="2"/>
        <scheme val="minor"/>
      </rPr>
      <t xml:space="preserve"> EVOLUTIONARY</t>
    </r>
    <r>
      <rPr>
        <sz val="11"/>
        <color theme="1"/>
        <rFont val="Calibri"/>
        <family val="2"/>
        <scheme val="minor"/>
      </rPr>
      <t xml:space="preserve"> method and then wait!</t>
    </r>
  </si>
  <si>
    <t>OPTIMAL CYCLE LENGTH FOR INTERSECTION DELAY MINIMIZATION</t>
  </si>
  <si>
    <t>The demand volume (veh/h) is supplied by the analyst.</t>
  </si>
  <si>
    <t>veh/h</t>
  </si>
  <si>
    <t>pc/h</t>
  </si>
  <si>
    <t>3. Bypass lanes are not considered.</t>
  </si>
  <si>
    <t>mi/h</t>
  </si>
  <si>
    <t>MOVEMENT VOLUME-WEIGHTED SYSTEMWIDE DELAY (s/veh)</t>
  </si>
  <si>
    <t>Saturation flow rate (veh/h)</t>
  </si>
  <si>
    <t>No more than 2 lanes per approach or in the circle</t>
  </si>
  <si>
    <t>U-Turns not included - if needed add U-turns to the approach LT volumes</t>
  </si>
  <si>
    <t>SINGLE LANE - SERVING ALL MOVEMENTS</t>
  </si>
  <si>
    <t>ft /ln</t>
  </si>
  <si>
    <t>Signal plans (cycle &amp; greens) provided (Y=1, N=0)</t>
  </si>
  <si>
    <t>Site</t>
  </si>
  <si>
    <t>Major road free-flow speed</t>
  </si>
  <si>
    <t>Distance from main to supplemental Intersections</t>
  </si>
  <si>
    <t>Storage length for U and LT movements</t>
  </si>
  <si>
    <t>Width of median on major road</t>
  </si>
  <si>
    <t>Parking allowed on minor road? (Y/N)</t>
  </si>
  <si>
    <t>Minimum PRACTICAL cycle length</t>
  </si>
  <si>
    <t>Maximum PRACTICAL cycle length</t>
  </si>
  <si>
    <t>Volume growth factor multiplier</t>
  </si>
  <si>
    <t>with the cardinal direction 2—&gt;6 above</t>
  </si>
  <si>
    <t>Signals designed to operate the critical movements at a v/c of 0.85</t>
  </si>
  <si>
    <t>Cycle length subject to be between the min and max practical cycle</t>
  </si>
  <si>
    <t>Progression factors per PPEAG (i.e., simplified)</t>
  </si>
  <si>
    <t>Lane-use factor default depends on number of lanes and movement</t>
  </si>
  <si>
    <t>Major throughs and LTs</t>
  </si>
  <si>
    <t xml:space="preserve">         ODs, turning movements, PHF </t>
  </si>
  <si>
    <t xml:space="preserve">         Fully adjsuted flow rates for </t>
  </si>
  <si>
    <t xml:space="preserve">         LUFs, peds, parking, and % HV</t>
  </si>
  <si>
    <t>Max v/c across encountered signals</t>
  </si>
  <si>
    <t>AVERAGE APPROACH ETT (s)</t>
  </si>
  <si>
    <t>EXPERIENCED TT (s)</t>
  </si>
  <si>
    <t>EDTT (s)</t>
  </si>
  <si>
    <t>CONTROL DELAY (s)</t>
  </si>
  <si>
    <t>DESIGN VOLUME including multiplier (veh/h)</t>
  </si>
  <si>
    <t xml:space="preserve">ORIGIN-DESTINATION DEMAND VOLUMES </t>
  </si>
  <si>
    <t>MINOR RT/U-TURN LANES</t>
  </si>
  <si>
    <t>MAJOR THROUGH VOL (tpc)</t>
  </si>
  <si>
    <t>Pedestrian volume (N, L, M, H, V)</t>
  </si>
  <si>
    <t>Parking allowed on minor road ? (Y/N)</t>
  </si>
  <si>
    <t>Storage length for UT movements</t>
  </si>
  <si>
    <t>Minimum PRACTICAL cycle length=</t>
  </si>
  <si>
    <t>Signal plans (cycle &amp; greens) given (Y=1, N=0)</t>
  </si>
  <si>
    <t>MOVEMENT-BASED MODULE</t>
  </si>
  <si>
    <t>JUNCTION-BASED MODULE</t>
  </si>
  <si>
    <t>APPROACH ETT (s)</t>
  </si>
  <si>
    <t>CAPACITY CHECK (SUM CLV)</t>
  </si>
  <si>
    <t>Through movement (Ped+Turn) adjustments</t>
  </si>
  <si>
    <t>RT (Ped+turn) adjustments</t>
  </si>
  <si>
    <t>U-Turn adjustment</t>
  </si>
  <si>
    <t>MINOR THROUGH FLOW RATIO 4-8</t>
  </si>
  <si>
    <t>MINOR THROUGH FLOW RATIO 8-4</t>
  </si>
  <si>
    <t>MAJOR RT FLOW RATIOS AT 2- 8 MAIN</t>
  </si>
  <si>
    <t>MAJOR RT FLOW RATIO AT 6-4 MAIN</t>
  </si>
  <si>
    <t>MINOR RT FLOW RATIO 8-6</t>
  </si>
  <si>
    <t>U-TURN  FLOW RATIO SIGNALS 2/6</t>
  </si>
  <si>
    <t>MINOR RT 95% QUEUE 8-6</t>
  </si>
  <si>
    <r>
      <t xml:space="preserve">Major road direction </t>
    </r>
    <r>
      <rPr>
        <sz val="12"/>
        <color theme="1"/>
        <rFont val="Calibri"/>
        <family val="2"/>
        <scheme val="minor"/>
      </rPr>
      <t>2—&gt;6</t>
    </r>
    <r>
      <rPr>
        <sz val="11"/>
        <color theme="1"/>
        <rFont val="Calibri"/>
        <family val="2"/>
        <scheme val="minor"/>
      </rPr>
      <t xml:space="preserve"> (NB, SB, EB, or WB)</t>
    </r>
  </si>
  <si>
    <t>O-D HOURLY VOLUMES</t>
  </si>
  <si>
    <r>
      <t>Any internal Q</t>
    </r>
    <r>
      <rPr>
        <b/>
        <sz val="11"/>
        <color theme="1"/>
        <rFont val="Calibri"/>
        <family val="2"/>
        <scheme val="minor"/>
      </rPr>
      <t>95</t>
    </r>
    <r>
      <rPr>
        <b/>
        <sz val="14"/>
        <color theme="1"/>
        <rFont val="Calibri"/>
        <family val="2"/>
        <scheme val="minor"/>
      </rPr>
      <t xml:space="preserve"> exceeding storage?</t>
    </r>
  </si>
  <si>
    <r>
      <t>Any U-TURN Q</t>
    </r>
    <r>
      <rPr>
        <b/>
        <sz val="11"/>
        <color theme="1"/>
        <rFont val="Calibri"/>
        <family val="2"/>
        <scheme val="minor"/>
      </rPr>
      <t>95</t>
    </r>
    <r>
      <rPr>
        <b/>
        <sz val="14"/>
        <color theme="1"/>
        <rFont val="Calibri"/>
        <family val="2"/>
        <scheme val="minor"/>
      </rPr>
      <t xml:space="preserve"> exceeding storage?</t>
    </r>
  </si>
  <si>
    <r>
      <rPr>
        <b/>
        <sz val="14"/>
        <color rgb="FFFF0000"/>
        <rFont val="Calibri"/>
        <family val="2"/>
        <scheme val="minor"/>
      </rPr>
      <t xml:space="preserve">REQUIRED </t>
    </r>
    <r>
      <rPr>
        <b/>
        <sz val="11"/>
        <color rgb="FFFF0000"/>
        <rFont val="Calibri"/>
        <family val="2"/>
        <scheme val="minor"/>
      </rPr>
      <t>CYCLE MANUAL INPUT</t>
    </r>
  </si>
  <si>
    <t>U-TURN FLOW RATIO SIGNALS 2/6</t>
  </si>
  <si>
    <t>THROUGH MAJOR STREET PF</t>
  </si>
  <si>
    <t>MINOR RT V/C RATIO 8-6</t>
  </si>
  <si>
    <t>MINOR RT DELAY 8-6</t>
  </si>
  <si>
    <t>Arterial street free-flow speed</t>
  </si>
  <si>
    <t>Direction of freeway traffic 2—&gt;6</t>
  </si>
  <si>
    <t xml:space="preserve">Internal storage between crossovers </t>
  </si>
  <si>
    <t>Green times provided? (Y=1,N=0)</t>
  </si>
  <si>
    <t>Volume growth factor muliplier</t>
  </si>
  <si>
    <t>Are the off-ramp RTs signalized? (Y=1, N=0)</t>
  </si>
  <si>
    <t>PEAK FLOW RATE (veh/h)</t>
  </si>
  <si>
    <t>FLOW RATE (pc/h)</t>
  </si>
  <si>
    <t>MAJOR THROUGH LANES (4-8, 8-4)</t>
  </si>
  <si>
    <t xml:space="preserve">OFF-RAMP RT LANES  </t>
  </si>
  <si>
    <t>OFF-RAMP VOLUME RIGHT</t>
  </si>
  <si>
    <t>OFF-RAMP VOLUME LEFT</t>
  </si>
  <si>
    <t>OFF-RAMP FLOW RATIO RIGHT 6-4 &amp;2-8</t>
  </si>
  <si>
    <t>OFF-RAMP FLOW RATIO LEFT 6-8 &amp;  2-4</t>
  </si>
  <si>
    <t>OFF-RAMP V/C RATIO RT</t>
  </si>
  <si>
    <t>OFF-RAMP V/C RATIO LT</t>
  </si>
  <si>
    <t>OFF-RAMP RT PF</t>
  </si>
  <si>
    <t>OFF-RAMP LT PF</t>
  </si>
  <si>
    <t xml:space="preserve">ARTERIAL THROUGH OR APPROACH DELAY </t>
  </si>
  <si>
    <t>ARTERIAL LT DELAY ON APPROACH</t>
  </si>
  <si>
    <t>OPPOSING THROUGH DELAY</t>
  </si>
  <si>
    <t>OFF-RAMP DELAY RT</t>
  </si>
  <si>
    <t>OFF-RAMP DELAY LT</t>
  </si>
  <si>
    <t>OPPOSING THROUGH V/C RATIO</t>
  </si>
  <si>
    <t>ARTERIAL LT V/C RATIO</t>
  </si>
  <si>
    <t>OPPOSING THROUGH 95TH QUEUE (ft/ln)</t>
  </si>
  <si>
    <t>ARTERIAL 95TH Q PER LT LANE ON APPROACH (ft/ln)</t>
  </si>
  <si>
    <t>ARTERIAL THROUGH/APPROACH 95TH LANE QUEUE (ft/ln)</t>
  </si>
  <si>
    <t>OFF-RAMP 95TH QUEUE RT PER LANE (ft/ln)</t>
  </si>
  <si>
    <t>OFF-RAMP 95TH QUEUE LT PER LANE (ft/ln)</t>
  </si>
  <si>
    <t>Poisson 95th percetile to mean value factor</t>
  </si>
  <si>
    <t>Average srrivals per cycle</t>
  </si>
  <si>
    <t xml:space="preserve">PART 2: DELAY AND LOS-- </t>
  </si>
  <si>
    <t>Green times (adjusted or known)</t>
  </si>
  <si>
    <t>ORIGIN NODE</t>
  </si>
  <si>
    <t>DESTINATON NODE</t>
  </si>
  <si>
    <r>
      <t>REQUIRED:</t>
    </r>
    <r>
      <rPr>
        <sz val="13"/>
        <rFont val="Calibri"/>
        <family val="2"/>
        <scheme val="minor"/>
      </rPr>
      <t xml:space="preserve"> ENTER SELECTED CYCLE  MANUALLY HERE</t>
    </r>
  </si>
  <si>
    <r>
      <rPr>
        <b/>
        <sz val="14"/>
        <rFont val="Calibri"/>
        <family val="2"/>
        <scheme val="minor"/>
      </rPr>
      <t xml:space="preserve">REQUIRED </t>
    </r>
    <r>
      <rPr>
        <b/>
        <sz val="11"/>
        <rFont val="Calibri"/>
        <family val="2"/>
        <scheme val="minor"/>
      </rPr>
      <t>CYCLE  MANUAL INPUT</t>
    </r>
  </si>
  <si>
    <t>zeroed out in the case of CGT</t>
  </si>
  <si>
    <t>REQUIRED ONLY</t>
  </si>
  <si>
    <t>REQUIRED ONLY  IF</t>
  </si>
  <si>
    <t xml:space="preserve">GREENS ARE GIVEN </t>
  </si>
  <si>
    <t>REQUIRED ONLY IF</t>
  </si>
  <si>
    <t>GREEN TIMES ARE PROVIDED</t>
  </si>
  <si>
    <t>USED GREEN TIMES</t>
  </si>
  <si>
    <t>OPTIMAL LOCAL CYCLE LENGTHS</t>
  </si>
  <si>
    <t>Unadjusted Turning Volume (veh/h)</t>
  </si>
  <si>
    <r>
      <t xml:space="preserve"> in the Global Inputs Module below, under</t>
    </r>
    <r>
      <rPr>
        <b/>
        <sz val="12"/>
        <color rgb="FFFF0000"/>
        <rFont val="Calibri"/>
        <family val="2"/>
        <scheme val="minor"/>
      </rPr>
      <t xml:space="preserve"> SIGNAL PLANS. Finally, SUBTRACTany  RTOR</t>
    </r>
  </si>
  <si>
    <t>Systemwide parameters:</t>
  </si>
  <si>
    <t>Outputs delay and ETT by turning movement,</t>
  </si>
  <si>
    <t>MUST input the intersection geometry for each type.</t>
  </si>
  <si>
    <t>In this planning application, PHF and % heavy vehicles are common across all movements.</t>
  </si>
  <si>
    <r>
      <t>Approaches on the</t>
    </r>
    <r>
      <rPr>
        <b/>
        <sz val="11"/>
        <color theme="1"/>
        <rFont val="Calibri"/>
        <family val="2"/>
        <scheme val="minor"/>
      </rPr>
      <t xml:space="preserve"> MAJOR </t>
    </r>
    <r>
      <rPr>
        <sz val="11"/>
        <color theme="1"/>
        <rFont val="Calibri"/>
        <family val="2"/>
        <scheme val="minor"/>
      </rPr>
      <t xml:space="preserve">road are </t>
    </r>
    <r>
      <rPr>
        <b/>
        <sz val="11"/>
        <color theme="1"/>
        <rFont val="Calibri"/>
        <family val="2"/>
        <scheme val="minor"/>
      </rPr>
      <t>ALWAYS</t>
    </r>
    <r>
      <rPr>
        <sz val="11"/>
        <color theme="1"/>
        <rFont val="Calibri"/>
        <family val="2"/>
        <scheme val="minor"/>
      </rPr>
      <t xml:space="preserve"> labeled as N</t>
    </r>
    <r>
      <rPr>
        <b/>
        <sz val="11"/>
        <color theme="1"/>
        <rFont val="Calibri"/>
        <family val="2"/>
        <scheme val="minor"/>
      </rPr>
      <t>odes 2 and 6. Pick one major road approach and assign it the label 2</t>
    </r>
    <r>
      <rPr>
        <sz val="11"/>
        <color theme="1"/>
        <rFont val="Calibri"/>
        <family val="2"/>
        <scheme val="minor"/>
      </rPr>
      <t>.</t>
    </r>
  </si>
  <si>
    <r>
      <t xml:space="preserve">The opposite major road approach is automatically assigned the </t>
    </r>
    <r>
      <rPr>
        <b/>
        <sz val="11"/>
        <color theme="1"/>
        <rFont val="Calibri"/>
        <family val="2"/>
        <scheme val="minor"/>
      </rPr>
      <t>node label 6. Users MUST enter the cardinal direction 2—&gt; 6.</t>
    </r>
  </si>
  <si>
    <r>
      <t xml:space="preserve">Approaches on the </t>
    </r>
    <r>
      <rPr>
        <b/>
        <sz val="11"/>
        <color theme="1"/>
        <rFont val="Calibri"/>
        <family val="2"/>
        <scheme val="minor"/>
      </rPr>
      <t>MINOR</t>
    </r>
    <r>
      <rPr>
        <sz val="11"/>
        <color theme="1"/>
        <rFont val="Calibri"/>
        <family val="2"/>
        <scheme val="minor"/>
      </rPr>
      <t xml:space="preserve"> road are </t>
    </r>
    <r>
      <rPr>
        <b/>
        <sz val="11"/>
        <color theme="1"/>
        <rFont val="Calibri"/>
        <family val="2"/>
        <scheme val="minor"/>
      </rPr>
      <t>ALWAYS</t>
    </r>
    <r>
      <rPr>
        <sz val="11"/>
        <color theme="1"/>
        <rFont val="Calibri"/>
        <family val="2"/>
        <scheme val="minor"/>
      </rPr>
      <t xml:space="preserve"> labeled as </t>
    </r>
    <r>
      <rPr>
        <b/>
        <sz val="11"/>
        <color theme="1"/>
        <rFont val="Calibri"/>
        <family val="2"/>
        <scheme val="minor"/>
      </rPr>
      <t>nodes 4 and 8</t>
    </r>
    <r>
      <rPr>
        <sz val="11"/>
        <color theme="1"/>
        <rFont val="Calibri"/>
        <family val="2"/>
        <scheme val="minor"/>
      </rPr>
      <t>.</t>
    </r>
  </si>
  <si>
    <t>The four nodes are ALWAYS LABELED CLOCKWISE as shown below: 2-4-6-8. In this example, direction 2—&gt;6 is westbound (WB).</t>
  </si>
  <si>
    <t xml:space="preserve">therefore, the 2—&gt;6 direction at a CGT must be the uncontrolled/free direction. </t>
  </si>
  <si>
    <r>
      <t>Directional input in the</t>
    </r>
    <r>
      <rPr>
        <b/>
        <sz val="11"/>
        <color theme="1"/>
        <rFont val="Calibri"/>
        <family val="2"/>
        <scheme val="minor"/>
      </rPr>
      <t xml:space="preserve"> Global Inputs Module </t>
    </r>
    <r>
      <rPr>
        <sz val="11"/>
        <color theme="1"/>
        <rFont val="Calibri"/>
        <family val="2"/>
        <scheme val="minor"/>
      </rPr>
      <t>is the</t>
    </r>
    <r>
      <rPr>
        <b/>
        <sz val="11"/>
        <color theme="1"/>
        <rFont val="Calibri"/>
        <family val="2"/>
        <scheme val="minor"/>
      </rPr>
      <t xml:space="preserve"> CARDINAL DIRECTION from Node 2 to Node 6</t>
    </r>
    <r>
      <rPr>
        <sz val="11"/>
        <color theme="1"/>
        <rFont val="Calibri"/>
        <family val="2"/>
        <scheme val="minor"/>
      </rPr>
      <t xml:space="preserve"> (NB, SB, EB, WB). </t>
    </r>
    <r>
      <rPr>
        <b/>
        <sz val="11"/>
        <color theme="1"/>
        <rFont val="Calibri"/>
        <family val="2"/>
        <scheme val="minor"/>
      </rPr>
      <t>Default is WB</t>
    </r>
    <r>
      <rPr>
        <sz val="11"/>
        <color theme="1"/>
        <rFont val="Calibri"/>
        <family val="2"/>
        <scheme val="minor"/>
      </rPr>
      <t>.</t>
    </r>
  </si>
  <si>
    <t>to account for any redirected movements.</t>
  </si>
  <si>
    <r>
      <t>Based on entry in c</t>
    </r>
    <r>
      <rPr>
        <b/>
        <sz val="12"/>
        <color theme="0"/>
        <rFont val="Calibri"/>
        <family val="2"/>
        <scheme val="minor"/>
      </rPr>
      <t>ell F66 in Global Inputs,</t>
    </r>
    <r>
      <rPr>
        <sz val="12"/>
        <color theme="0"/>
        <rFont val="Calibri"/>
        <family val="2"/>
        <scheme val="minor"/>
      </rPr>
      <t>the module will</t>
    </r>
  </si>
  <si>
    <t>generate signal timing parameters for all intersections.</t>
  </si>
  <si>
    <t>Cycle Length MUST be entered MANUALLY.</t>
  </si>
  <si>
    <t>Reports v/c, delays, and 95th % queues for</t>
  </si>
  <si>
    <t>intersection turning movements and</t>
  </si>
  <si>
    <t>Storage length for U-turns/left-turns or DDI crossovers/QRI</t>
  </si>
  <si>
    <t>Median width on major road (or arterial for DDI)</t>
  </si>
  <si>
    <t>Signal plans (EFFECTIVE greens) provided?  (Y=1, N=0)**</t>
  </si>
  <si>
    <t>(e) The PPEAG ICE tool does not consider minimum green times. If not met, the cycle length must be increased</t>
  </si>
  <si>
    <r>
      <t xml:space="preserve">(c) Entering code = 1 here requires the user to also enter </t>
    </r>
    <r>
      <rPr>
        <b/>
        <i/>
        <sz val="12"/>
        <color theme="1"/>
        <rFont val="Calibri"/>
        <family val="2"/>
        <scheme val="minor"/>
      </rPr>
      <t xml:space="preserve">all effective green times </t>
    </r>
    <r>
      <rPr>
        <i/>
        <sz val="12"/>
        <color theme="1"/>
        <rFont val="Calibri"/>
        <family val="2"/>
        <scheme val="minor"/>
      </rPr>
      <t>in each tab</t>
    </r>
  </si>
  <si>
    <t>(d) Entering code = 0 here will let the PPEAG ICE tool calculate the effective green times</t>
  </si>
  <si>
    <t xml:space="preserve">Simple multiplier: for example,  "2" doubles the volumes, while "0.5" cuts them in half </t>
  </si>
  <si>
    <t>if unknown, use a default value of 3</t>
  </si>
  <si>
    <t>QUADRANT 28</t>
  </si>
  <si>
    <t>ALL-WAY STOP CONTROL - SINGLE LANE</t>
  </si>
  <si>
    <t>JUGHANDLE - FORWARD</t>
  </si>
  <si>
    <t>JUGHANDLE - REVERSE</t>
  </si>
  <si>
    <t># of intersection types evaluated</t>
  </si>
  <si>
    <t>Number of lanes in lane group</t>
  </si>
  <si>
    <r>
      <t xml:space="preserve">Left-turn check for volume </t>
    </r>
    <r>
      <rPr>
        <sz val="11"/>
        <color theme="1"/>
        <rFont val="Calibri"/>
        <family val="2"/>
      </rPr>
      <t>&gt;</t>
    </r>
    <r>
      <rPr>
        <sz val="11"/>
        <color theme="1"/>
        <rFont val="Calibri"/>
        <family val="2"/>
        <scheme val="minor"/>
      </rPr>
      <t>240</t>
    </r>
  </si>
  <si>
    <t>Left-turn cross product check</t>
  </si>
  <si>
    <t>More than one left-turn lane?</t>
  </si>
  <si>
    <t>Exclusive left turn + opposing.approach protected?</t>
  </si>
  <si>
    <t>Left turn phasing (criteria-based)</t>
  </si>
  <si>
    <t>LT Phasing (if known) - protected or permitted</t>
  </si>
  <si>
    <t>Left-turn phasing used</t>
  </si>
  <si>
    <t>Volume (veh/h)</t>
  </si>
  <si>
    <r>
      <t xml:space="preserve">Right-turn phasing </t>
    </r>
    <r>
      <rPr>
        <sz val="11"/>
        <color theme="1"/>
        <rFont val="Calibri"/>
        <family val="2"/>
        <scheme val="minor"/>
      </rPr>
      <t>- protected or permitted</t>
    </r>
  </si>
  <si>
    <t>Critical lane volumes</t>
  </si>
  <si>
    <t>Average back of queue (tpc/ln)</t>
  </si>
  <si>
    <t>95th percentile BOQ (tpc/ln)</t>
  </si>
  <si>
    <t>Probability of queue-free state</t>
  </si>
  <si>
    <t>Movements 2, 3, 5, and 6 do not need to stop or yield right-of-way.</t>
  </si>
  <si>
    <t>Roundabouts Planning Method (Single-Lane Roundabout)</t>
  </si>
  <si>
    <t>Designated lane assignment (# Lanes)</t>
  </si>
  <si>
    <t>Opposing # of circulating lanes</t>
  </si>
  <si>
    <t>Actual lane volume assignment</t>
  </si>
  <si>
    <t>PLANNING LEVEL AWSC SINGLE-LANE METHOD</t>
  </si>
  <si>
    <t>C - approach</t>
  </si>
  <si>
    <t>v/C - approach</t>
  </si>
  <si>
    <t>v/c (RT)</t>
  </si>
  <si>
    <t>v/c (TH)</t>
  </si>
  <si>
    <t>CT</t>
  </si>
  <si>
    <t>v/c (LT)</t>
  </si>
  <si>
    <t>CL</t>
  </si>
  <si>
    <t>Through volume</t>
  </si>
  <si>
    <t>LT volume</t>
  </si>
  <si>
    <t>RT volume</t>
  </si>
  <si>
    <t>Lane volume</t>
  </si>
  <si>
    <t>Lower Threshold Values</t>
  </si>
  <si>
    <t>Threshold</t>
  </si>
  <si>
    <t>Median width on major road</t>
  </si>
  <si>
    <t>General pedestrian presence (N, L, M, H, V)</t>
  </si>
  <si>
    <t>Lower ETT bound (s)</t>
  </si>
  <si>
    <t>OD-MOVEMENT LOS</t>
  </si>
  <si>
    <t>MAJOR RIGHT LANES (Zero if shared)</t>
  </si>
  <si>
    <t>Upstream Filtering for U-Turn Movements</t>
  </si>
  <si>
    <t>Parking</t>
  </si>
  <si>
    <t>Peds</t>
  </si>
  <si>
    <t xml:space="preserve">95th queue length expressed in vehcles as twice the average </t>
  </si>
  <si>
    <t>RT adjustment</t>
  </si>
  <si>
    <t>Parking adjustment</t>
  </si>
  <si>
    <t>U-TURN Qs below queuing capacity?</t>
  </si>
  <si>
    <t xml:space="preserve">NCHRP Project 17-98 </t>
  </si>
  <si>
    <t>NCHRP Project 17-98</t>
  </si>
  <si>
    <t>ACKNOWLEDGMENT OF SPONSORSHIP</t>
  </si>
  <si>
    <t xml:space="preserve">The National Cooperative Highway Research Program (NCHRP) produces ready-to-implement solutions to the challenges facing transportation professionals. NCHRP is sponsored by the individual state departments of transportation of the American Association of State Highway and Transportation Officials. NCHRP is administered by the Transportation Research Board (TRB), part of the National Academies of Sciences, Engineering, and Medicine, under a cooperative agreement with the Federal Highway Administration (FHWA).  </t>
  </si>
  <si>
    <t>COPYRIGHT</t>
  </si>
  <si>
    <t xml:space="preserve">This material and the copyrights herein are owned by the National Academies of Sciences, Engineering, and Medicine. Permission to reproduce any copyrighted material included herein was obtained by the contractor. </t>
  </si>
  <si>
    <t>DISCLAIMER</t>
  </si>
  <si>
    <t>Any software included is offered as is, without warranty or promise of support of any kind either expressed or implied. Under no circumstance will the National Academy of Sciences or the Transportation Research Board (collectively “TRB”) be liable for any loss or damage caused by the installation or operation of this product. TRB makes no representation or warranty of any kind, expressed or implied, in fact or in law, including without limitation, the warranty of merchantability or the warranty of fitness for a particular purpose, and shall not in any case be liable for any consequential or special damages.</t>
  </si>
  <si>
    <t>INSTRUCTIONS</t>
  </si>
  <si>
    <t>VERSION HISTORY</t>
  </si>
  <si>
    <t>Final submission to NCHRP</t>
  </si>
  <si>
    <t>2024-01</t>
  </si>
  <si>
    <t>User-provided data are entered into the bright yellow cells. Some intersection forms have no direct user inputs; all data for these forms are drawn from the Global Inputs tab. The worksheets are password protected, with only the required user inputs being editable. The password for unlocking the engine may be requested from Bastian Schroeder, bschroeder@kittelson.com.</t>
  </si>
  <si>
    <t xml:space="preserve">              with the cardinal direction 2—&gt;6 above</t>
  </si>
  <si>
    <t xml:space="preserve">               with the cardinal direction 2—&gt;6 above</t>
  </si>
  <si>
    <t>INPUT HOURLY VOLUMES</t>
  </si>
  <si>
    <t xml:space="preserve"> with the cardinal direction 2—&gt;6 above</t>
  </si>
  <si>
    <t>Right-turn movwment (ped+turn) adjustments.</t>
  </si>
  <si>
    <t>Left-turn movement adjustment</t>
  </si>
  <si>
    <t>MAJOR THROUGH 95TH QUEUE 62 / 84</t>
  </si>
  <si>
    <t>MAJOR RT 95TH QUEUE 26 / 48</t>
  </si>
  <si>
    <t>MAJOR RT 95TH QUEUE 62 / 84</t>
  </si>
  <si>
    <t>Cycle length ranges from min and max parctical cycle</t>
  </si>
  <si>
    <t>Signal is designed for critical movements v/c of 0.85</t>
  </si>
  <si>
    <t>EXPERIENCED DELAY (s)</t>
  </si>
  <si>
    <t>APPROACH DELAY (s)</t>
  </si>
  <si>
    <t>MAJOR RT LANES AT MAIN INTERSECTION</t>
  </si>
  <si>
    <t>MAJOR LT VOL AT 2 OR 6</t>
  </si>
  <si>
    <t>MINOR THRU FLOW RATIO  4-8</t>
  </si>
  <si>
    <t>MINOR THRU FLOW RATIO 8-4</t>
  </si>
  <si>
    <t>MINOR LT FLOW RATIO 4-6</t>
  </si>
  <si>
    <t>MINOR LT FLOW RATIO 8-2</t>
  </si>
  <si>
    <t>MINOR RT FLOW RATIO 4-8</t>
  </si>
  <si>
    <t>MAJOR LT FLOW RATIO AT 2 OR 6</t>
  </si>
  <si>
    <t xml:space="preserve">Queue constraints are met at the 2 supplemental signals? </t>
  </si>
  <si>
    <t>RT Adjustment</t>
  </si>
  <si>
    <t>Parking Adjustment</t>
  </si>
  <si>
    <t xml:space="preserve">95th queue length expressed in vehcles as twice </t>
  </si>
  <si>
    <t>the cycle average queue (per HCM PPEAG)</t>
  </si>
  <si>
    <t>PERMITTED LT @ 4 AND 8</t>
  </si>
  <si>
    <t>MINOR U-TURN LANES</t>
  </si>
  <si>
    <t>MINOR RT VOLUME 8-6</t>
  </si>
  <si>
    <t>Through movement (ped+turn) adjustments</t>
  </si>
  <si>
    <t>Right-turn movement (ped+turn) adjustments</t>
  </si>
  <si>
    <t>U-turn movement adjustment</t>
  </si>
  <si>
    <t>U-TURNS FLOW RATIO SIGNALS 2/6</t>
  </si>
  <si>
    <t xml:space="preserve">CAPACITY CHECKING </t>
  </si>
  <si>
    <t>U-turn queues below queuing capacity?</t>
  </si>
  <si>
    <t>MINOR RT 95TH QUEUE 8-6</t>
  </si>
  <si>
    <t>MINOR THRU VOL 8-4</t>
  </si>
  <si>
    <t>MINOR THRU 95th Queue 8-4</t>
  </si>
  <si>
    <t>Distance from main to quadrant</t>
  </si>
  <si>
    <t>Signal plans (cycle &amp; greens) given ( Y=1, N=0)</t>
  </si>
  <si>
    <t>Volume multiplier</t>
  </si>
  <si>
    <t>Major road FFS</t>
  </si>
  <si>
    <t>Storage length for through (@2,6) and LT movements</t>
  </si>
  <si>
    <t>General pedestrian presence (N,L,M,H,V)</t>
  </si>
  <si>
    <t>General parking impedance (N,Y)</t>
  </si>
  <si>
    <r>
      <t xml:space="preserve">Major road direction </t>
    </r>
    <r>
      <rPr>
        <sz val="12"/>
        <color theme="1"/>
        <rFont val="Calibri"/>
        <family val="2"/>
        <scheme val="minor"/>
      </rPr>
      <t>2—&gt;6</t>
    </r>
    <r>
      <rPr>
        <sz val="11"/>
        <color theme="1"/>
        <rFont val="Calibri"/>
        <family val="2"/>
        <scheme val="minor"/>
      </rPr>
      <t xml:space="preserve"> (NB,SB,EB, or WB)</t>
    </r>
  </si>
  <si>
    <t>Major road direction 2--&gt;6 (NB,SB,EB,WB)</t>
  </si>
  <si>
    <t>Major road 2--&gt;6 direction (NB,SB,EB,WB)</t>
  </si>
  <si>
    <t>Arterial FFS</t>
  </si>
  <si>
    <t>pc/h/lln</t>
  </si>
  <si>
    <t>MOVEMENT CONTROL DELAY (s)</t>
  </si>
  <si>
    <t>MOVEMENT EDTT (s)</t>
  </si>
  <si>
    <t>MOVEMENT EXPERIENCED TT (s)</t>
  </si>
  <si>
    <t>Right-turn movmt (ped+turn) adjustments</t>
  </si>
  <si>
    <t>MAJOR RT FLOW RATIO 26 /48</t>
  </si>
  <si>
    <t>MAJOR RT FLOW RATIO 62 /84</t>
  </si>
  <si>
    <t>MAJOR LT FLOW RATIO AT 26 / 48 QRI</t>
  </si>
  <si>
    <t>MAJOR LT FLOW RATIO AT 62 / 84 QRI</t>
  </si>
  <si>
    <t>MINOR RT FLOW RATIO AT 26 / 48 QRI</t>
  </si>
  <si>
    <t>MINOR LT FLOW RATIO AT 26 / 48 QRI</t>
  </si>
  <si>
    <t>MAJOR THROUGH VOLUME 62 / 84</t>
  </si>
  <si>
    <t>MAJOR RT VOLUME 26 / 48</t>
  </si>
  <si>
    <t>MAJOR THROUGH FLOW RATIO 26 / 48</t>
  </si>
  <si>
    <t>MAJOR THROUGH FLOW RATIO 62 / 84</t>
  </si>
  <si>
    <t>MAJOR RT FLOW RATIO 26 / 48</t>
  </si>
  <si>
    <t>MAJOR RT FLOW RATIO 62 / 84</t>
  </si>
  <si>
    <t>MAJOR THROUGH GREEN 62 / 84</t>
  </si>
  <si>
    <t>MAJOR RT GREEN 62 / 84</t>
  </si>
  <si>
    <t>MAJOR RT GREEN 26 / 48</t>
  </si>
  <si>
    <t>MAJOR THROUGH V/C RATIO 62 / 84</t>
  </si>
  <si>
    <t>MAJOR RT V/C RATIO 26 / 48</t>
  </si>
  <si>
    <t>MAJOR RT V/C RATIO 62 / 84</t>
  </si>
  <si>
    <t>MAJOR THROUGH PROG FACTOR 62 / 84</t>
  </si>
  <si>
    <t>MAJOR RT PROG FACTOR 26 / 48</t>
  </si>
  <si>
    <t>MAJOR RT PROG FACTOR 62 / 84</t>
  </si>
  <si>
    <t>MAJOR RT CTRL DELAY 26 / 48</t>
  </si>
  <si>
    <t>MAJOR RT CTRL DELAY 62 / 84</t>
  </si>
  <si>
    <t>MAJOR RT VOLUME 62 / 84</t>
  </si>
  <si>
    <t>MAJOR THROUGH LANES 62 / 84</t>
  </si>
  <si>
    <t>MAJOR RT LANES 26 / 48</t>
  </si>
  <si>
    <t>MAJOR RT LANES 62 / 84</t>
  </si>
  <si>
    <t>MAJOR THROUGH CTRL DELAY 62 / 84</t>
  </si>
  <si>
    <t>Distance from main to jughandle on origin 2</t>
  </si>
  <si>
    <t>Distance from main to jughandle on origin 6</t>
  </si>
  <si>
    <t>MAJOR THRU LANES 48 / 84</t>
  </si>
  <si>
    <t>MAJOR RT LANES 42 AND 86</t>
  </si>
  <si>
    <t>MINOR RT LANES AT J4 / J8</t>
  </si>
  <si>
    <t>FLOW RATIO  RT 42 AND 86</t>
  </si>
  <si>
    <t>V/C RATIO  RT 42 AND 86</t>
  </si>
  <si>
    <t>CONTROL DELAY RT 28 AND 64</t>
  </si>
  <si>
    <t>CONTROL DELAY THRU 48 AND 84</t>
  </si>
  <si>
    <t>CONTROL DELAY RT42 AND 86</t>
  </si>
  <si>
    <t>CONTROL DELAY LT 46 AND 82</t>
  </si>
  <si>
    <t>CONTROL 95TH QUEUE THRU 26 AND 62</t>
  </si>
  <si>
    <t>CONTROL 95TH QUEUE RT 28 AND 64</t>
  </si>
  <si>
    <t>CONTROL 95TH QUEUE THRU 48 AND 84</t>
  </si>
  <si>
    <t>CONTROL 95TH QUEUE RT42 AND 86</t>
  </si>
  <si>
    <t>CONTROL 95TH QUEUE LT 46 AND 82</t>
  </si>
  <si>
    <t>CONTROL 95TH QUEUE MINOR RIGHT TURNS</t>
  </si>
  <si>
    <t>CONTROL 95TH QUEUE MINOR LEFT TURNS</t>
  </si>
  <si>
    <t>Any internal Q95 @ main exceeds storage?</t>
  </si>
  <si>
    <t>Any QRI movement Q95 exceeds storage?</t>
  </si>
  <si>
    <t>MAIN INTERSECTION RT 42 AND 86</t>
  </si>
  <si>
    <t>MINOR TURN LANES NEAR J8 / J4</t>
  </si>
  <si>
    <t>V/C RATIO RT 42 AND 86</t>
  </si>
  <si>
    <t>V/C RATIO RT 28 AND 64</t>
  </si>
  <si>
    <t>CONTROL DELAY THRU 26 AND 62</t>
  </si>
  <si>
    <t>CONTROL DELAY MINOR RIGHT TURNS</t>
  </si>
  <si>
    <t>Overall average intersection delay (s)</t>
  </si>
  <si>
    <t>95TH PERCENTILE QUEUES (ft)</t>
  </si>
  <si>
    <t>From 2 &amp; 4</t>
  </si>
  <si>
    <t>From 6 &amp; 8</t>
  </si>
  <si>
    <t>Length of LT storage on major road</t>
  </si>
  <si>
    <t>Estimated jughandle length (ft)</t>
  </si>
  <si>
    <t>Estimated jughandle kength (ft)</t>
  </si>
  <si>
    <t>Distance from main to bowties on 4 and 8</t>
  </si>
  <si>
    <t>Maximum PRACTICAL cycle kength</t>
  </si>
  <si>
    <r>
      <rPr>
        <b/>
        <sz val="12"/>
        <color theme="1"/>
        <rFont val="Calibri"/>
        <family val="2"/>
        <scheme val="minor"/>
      </rPr>
      <t xml:space="preserve">Enter major road </t>
    </r>
    <r>
      <rPr>
        <sz val="12"/>
        <color theme="1"/>
        <rFont val="Calibri"/>
        <family val="2"/>
        <scheme val="minor"/>
      </rPr>
      <t xml:space="preserve">direction from </t>
    </r>
    <r>
      <rPr>
        <b/>
        <sz val="12"/>
        <color theme="1"/>
        <rFont val="Calibri"/>
        <family val="2"/>
        <scheme val="minor"/>
      </rPr>
      <t>2—&gt;6</t>
    </r>
    <r>
      <rPr>
        <sz val="12"/>
        <color theme="1"/>
        <rFont val="Calibri"/>
        <family val="2"/>
        <scheme val="minor"/>
      </rPr>
      <t xml:space="preserve"> (NB, SB, EB, or WB). </t>
    </r>
    <r>
      <rPr>
        <b/>
        <sz val="12"/>
        <color theme="1"/>
        <rFont val="Calibri"/>
        <family val="2"/>
        <scheme val="minor"/>
      </rPr>
      <t>Default is WB.</t>
    </r>
  </si>
  <si>
    <t>Major road free-flow speed (FFS) or speed limit</t>
  </si>
  <si>
    <t>@2 &amp; 4</t>
  </si>
  <si>
    <t>@6 &amp; 8</t>
  </si>
  <si>
    <t>U-TURN CAPACITY AT BOWTIE</t>
  </si>
  <si>
    <t>EXIT THRU MOVEMENT CAPACITY @ BOWTIE</t>
  </si>
  <si>
    <t>OVERALL EXIT V/C RATIO AT BOWTIE</t>
  </si>
  <si>
    <t>OVERALL ENTRY CAPACITY AT BOWTIE</t>
  </si>
  <si>
    <t>PROPOSED LOCAL CYCLE LENGTH (s)</t>
  </si>
  <si>
    <t>MAJOR RD THROUGH V/C RATIO</t>
  </si>
  <si>
    <t xml:space="preserve">MAJOR RD RT RIGHT V/C RATIO </t>
  </si>
  <si>
    <t>MINOR RD THROUGH V/C RATIO</t>
  </si>
  <si>
    <t>MINOR RD RT V/C RATIO</t>
  </si>
  <si>
    <t>OVERALL EXIT DELAY AT BOWTIE (s)</t>
  </si>
  <si>
    <t>OVERALL ENTRY DELAY AT BOWTIE (s)</t>
  </si>
  <si>
    <t>OVERALL INTERSECTION DELAY (s)</t>
  </si>
  <si>
    <t>95TH PERCENTILE EXIT QUEUE (ft)</t>
  </si>
  <si>
    <t>95TH MINOR STREET RIGHT TURN QUEUE (ft)</t>
  </si>
  <si>
    <t>95TH MINOR STREET THROUGH QUEUE (ft)</t>
  </si>
  <si>
    <r>
      <t>Any internal Q</t>
    </r>
    <r>
      <rPr>
        <b/>
        <sz val="11"/>
        <color theme="1"/>
        <rFont val="Calibri"/>
        <family val="2"/>
        <scheme val="minor"/>
      </rPr>
      <t>95</t>
    </r>
    <r>
      <rPr>
        <b/>
        <sz val="14"/>
        <color theme="1"/>
        <rFont val="Calibri"/>
        <family val="2"/>
        <scheme val="minor"/>
      </rPr>
      <t xml:space="preserve"> exceeds storage?</t>
    </r>
  </si>
  <si>
    <t>Protected</t>
  </si>
  <si>
    <t>DOES NOT COVER SPLIT PHASING CASE</t>
  </si>
  <si>
    <r>
      <rPr>
        <b/>
        <sz val="14"/>
        <rFont val="Calibri"/>
        <family val="2"/>
        <scheme val="minor"/>
      </rPr>
      <t>MUST ENTER</t>
    </r>
    <r>
      <rPr>
        <b/>
        <sz val="11"/>
        <rFont val="Calibri"/>
        <family val="2"/>
        <scheme val="minor"/>
      </rPr>
      <t xml:space="preserve"> a CYCLE LENGTH INPUT</t>
    </r>
  </si>
  <si>
    <t>Please rotate arrow consistent</t>
  </si>
  <si>
    <t xml:space="preserve">        Please rotate arrow consistent</t>
  </si>
  <si>
    <t xml:space="preserve">                      Please rotate arrow consistent</t>
  </si>
  <si>
    <t xml:space="preserve">            Please rotate arrow consistent</t>
  </si>
  <si>
    <t xml:space="preserve">             Please rotate arrow consistent</t>
  </si>
  <si>
    <t xml:space="preserve">          Please rotate arrow consistent</t>
  </si>
  <si>
    <t xml:space="preserve">         Please rotate arrow consistent</t>
  </si>
  <si>
    <t xml:space="preserve">           Please rotate arrow consistent</t>
  </si>
  <si>
    <t>Build: 2023-12</t>
  </si>
  <si>
    <t>Planning and Preliminary Engineering Applications Guide Tool for Intersection Control Evaluation
(PPEAG-ICE Tool)</t>
  </si>
  <si>
    <t>The material has not been edited by TRB.</t>
  </si>
  <si>
    <t>Any opinions and conclusions expressed or implied in resulting research products are those of the individuals and organizations who performed the research and are not necessarily those of TRB; the National Academies of Sciences, Engineering, and Medicine; the FHWA; or NCHRP sponsors.</t>
  </si>
  <si>
    <r>
      <t xml:space="preserve">The PPEAG-ICE Tool extends the planning-level analytical methods in </t>
    </r>
    <r>
      <rPr>
        <i/>
        <sz val="10"/>
        <color theme="1"/>
        <rFont val="Arial"/>
        <family val="2"/>
      </rPr>
      <t>NCHRP Report 825: Planning and Preliminary Engineering Applications Guide to the Highway Capacity Manual</t>
    </r>
    <r>
      <rPr>
        <sz val="10"/>
        <color theme="1"/>
        <rFont val="Arial"/>
        <family val="2"/>
      </rPr>
      <t xml:space="preserve"> to a variety of innovative intersection forms that might be considered during an ICE analysis. This is a research-grade software tool that does not provide the enhanced user interface and extensive error checking that commercial software would provide.</t>
    </r>
  </si>
  <si>
    <t>The spreadsheet consists of 10 groups of tabs in addition to this overview: Read Me (brown), Global Inputs (yellow), Summary Output (light purple), traditional intersection forms (light green), U-turn forms (orange), displaced movement forms (red), quadrant roadways (dark purple), jughandles (light blue), continuous green-T intersections (dark blue), and bowties (medium green). Traditional intersection forms consist of traffic signals (Signal), two-way stop-controlled intersections (TWSC), single-lane roundabouts (SL-Round), multilane roundabouts (ML-Round), and single-lane all-way stop-controlled intersections (AWSC-Single Lane). U-turn forms consist of restricted crossing U-turn (RCUT), median U-turn (MUT), and partial median U-turn (PMUT). Displaced movement forms are diverging diamond interchanges (DDI) and displaced left-turn intersections (DLT). Quadrant roadway intersection tabs have the form "QRI-##," where "##" indicates the nodes connected by the quadrant roadway; see the "Read Me" tab for the node numbering scheme. Finally, jughandle forms place the jughandle roadway in front of the main intersection (Jugh-F) or beyond the main intersection (Jugh-R).</t>
  </si>
  <si>
    <t>© 2024 National Academy of Sciences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</si>
</sst>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0.000"/>
    <numFmt numFmtId="165" formatCode="0.0"/>
    <numFmt numFmtId="166" formatCode="_(* #,##0_);_(* \(#,##0\);_(* &quot;-&quot;??_);_(@_)"/>
    <numFmt numFmtId="167" formatCode="0.0000"/>
    <numFmt numFmtId="168" formatCode="_(* #,##0.000_);_(* \(#,##0.000\);_(* &quot;-&quot;??_);_(@_)"/>
    <numFmt numFmtId="169" formatCode="0.00000000000"/>
    <numFmt numFmtId="170" formatCode="0.00000"/>
    <numFmt numFmtId="171" formatCode="0.0%"/>
    <numFmt numFmtId="172" formatCode="_(* #,##0.0000_);_(* \(#,##0.0000\);_(* &quot;-&quot;??_);_(@_)"/>
  </numFmts>
  <fonts count="96"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1"/>
      <color rgb="FFFF0000"/>
      <name val="Calibri"/>
      <family val="2"/>
      <scheme val="minor"/>
    </font>
    <font>
      <b/>
      <sz val="12"/>
      <color rgb="FFFF0000"/>
      <name val="Calibri"/>
      <family val="2"/>
      <scheme val="minor"/>
    </font>
    <font>
      <b/>
      <sz val="11"/>
      <color rgb="FF7030A0"/>
      <name val="Calibri"/>
      <family val="2"/>
      <scheme val="minor"/>
    </font>
    <font>
      <b/>
      <sz val="11"/>
      <color rgb="FF00B050"/>
      <name val="Calibri"/>
      <family val="2"/>
      <scheme val="minor"/>
    </font>
    <font>
      <b/>
      <sz val="12"/>
      <color rgb="FF00B050"/>
      <name val="Calibri"/>
      <family val="2"/>
      <scheme val="minor"/>
    </font>
    <font>
      <b/>
      <sz val="12"/>
      <color rgb="FF00B0F0"/>
      <name val="Calibri"/>
      <family val="2"/>
      <scheme val="minor"/>
    </font>
    <font>
      <sz val="11"/>
      <color rgb="FF00B050"/>
      <name val="Calibri"/>
      <family val="2"/>
      <scheme val="minor"/>
    </font>
    <font>
      <b/>
      <sz val="12"/>
      <color theme="1"/>
      <name val="Calibri"/>
      <family val="2"/>
      <scheme val="minor"/>
    </font>
    <font>
      <b/>
      <sz val="14"/>
      <color rgb="FFFF0000"/>
      <name val="Calibri"/>
      <family val="2"/>
      <scheme val="minor"/>
    </font>
    <font>
      <sz val="12"/>
      <color rgb="FF00B050"/>
      <name val="Calibri"/>
      <family val="2"/>
      <scheme val="minor"/>
    </font>
    <font>
      <sz val="11"/>
      <color rgb="FFFF0000"/>
      <name val="Calibri"/>
      <family val="2"/>
      <scheme val="minor"/>
    </font>
    <font>
      <sz val="12"/>
      <color rgb="FFFF0000"/>
      <name val="Calibri"/>
      <family val="2"/>
      <scheme val="minor"/>
    </font>
    <font>
      <sz val="11"/>
      <name val="Calibri"/>
      <family val="2"/>
      <scheme val="minor"/>
    </font>
    <font>
      <b/>
      <sz val="11"/>
      <name val="Calibri"/>
      <family val="2"/>
      <scheme val="minor"/>
    </font>
    <font>
      <b/>
      <sz val="12"/>
      <name val="Calibri"/>
      <family val="2"/>
      <scheme val="minor"/>
    </font>
    <font>
      <b/>
      <sz val="12"/>
      <color rgb="FF7030A0"/>
      <name val="Calibri"/>
      <family val="2"/>
      <scheme val="minor"/>
    </font>
    <font>
      <b/>
      <sz val="14"/>
      <color rgb="FF7030A0"/>
      <name val="Calibri"/>
      <family val="2"/>
      <scheme val="minor"/>
    </font>
    <font>
      <b/>
      <sz val="16"/>
      <color rgb="FF7030A0"/>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b/>
      <sz val="11"/>
      <color rgb="FFFFFFFF"/>
      <name val="Calibri"/>
      <family val="2"/>
      <scheme val="minor"/>
    </font>
    <font>
      <sz val="11"/>
      <color theme="0" tint="-0.499984740745262"/>
      <name val="Calibri"/>
      <family val="2"/>
      <scheme val="minor"/>
    </font>
    <font>
      <sz val="14"/>
      <color theme="1"/>
      <name val="Calibri"/>
      <family val="2"/>
      <scheme val="minor"/>
    </font>
    <font>
      <sz val="12"/>
      <name val="Calibri"/>
      <family val="2"/>
      <scheme val="minor"/>
    </font>
    <font>
      <sz val="11"/>
      <color theme="0" tint="-0.34998626667073579"/>
      <name val="Calibri"/>
      <family val="2"/>
      <scheme val="minor"/>
    </font>
    <font>
      <sz val="11"/>
      <color rgb="FF7030A0"/>
      <name val="Calibri"/>
      <family val="2"/>
      <scheme val="minor"/>
    </font>
    <font>
      <b/>
      <sz val="11"/>
      <color rgb="FF00B0F0"/>
      <name val="Calibri"/>
      <family val="2"/>
      <scheme val="minor"/>
    </font>
    <font>
      <b/>
      <sz val="14"/>
      <color rgb="FF00B0F0"/>
      <name val="Calibri"/>
      <family val="2"/>
      <scheme val="minor"/>
    </font>
    <font>
      <b/>
      <sz val="14"/>
      <color rgb="FF00B050"/>
      <name val="Calibri"/>
      <family val="2"/>
      <scheme val="minor"/>
    </font>
    <font>
      <b/>
      <sz val="14"/>
      <name val="Calibri"/>
      <family val="2"/>
      <scheme val="minor"/>
    </font>
    <font>
      <b/>
      <sz val="16"/>
      <color theme="1"/>
      <name val="Calibri"/>
      <family val="2"/>
      <scheme val="minor"/>
    </font>
    <font>
      <b/>
      <sz val="10"/>
      <name val="Calibri"/>
      <family val="2"/>
      <scheme val="minor"/>
    </font>
    <font>
      <sz val="9"/>
      <color theme="1"/>
      <name val="Calibri"/>
      <family val="2"/>
      <scheme val="minor"/>
    </font>
    <font>
      <b/>
      <i/>
      <sz val="11"/>
      <color theme="1"/>
      <name val="Calibri"/>
      <family val="2"/>
      <scheme val="minor"/>
    </font>
    <font>
      <sz val="10"/>
      <color theme="1"/>
      <name val="Calibri"/>
      <family val="2"/>
      <scheme val="minor"/>
    </font>
    <font>
      <b/>
      <sz val="9"/>
      <color theme="1"/>
      <name val="Calibri"/>
      <family val="2"/>
      <scheme val="minor"/>
    </font>
    <font>
      <b/>
      <sz val="8"/>
      <color rgb="FF7030A0"/>
      <name val="Calibri"/>
      <family val="2"/>
      <scheme val="minor"/>
    </font>
    <font>
      <b/>
      <sz val="20"/>
      <color rgb="FF7030A0"/>
      <name val="Calibri"/>
      <family val="2"/>
      <scheme val="minor"/>
    </font>
    <font>
      <sz val="11"/>
      <color theme="0" tint="-0.249977111117893"/>
      <name val="Calibri"/>
      <family val="2"/>
      <scheme val="minor"/>
    </font>
    <font>
      <sz val="14"/>
      <color rgb="FF7030A0"/>
      <name val="Calibri"/>
      <family val="2"/>
      <scheme val="minor"/>
    </font>
    <font>
      <sz val="8"/>
      <color theme="1"/>
      <name val="Calibri"/>
      <family val="2"/>
      <scheme val="minor"/>
    </font>
    <font>
      <b/>
      <sz val="9"/>
      <color rgb="FFFF0000"/>
      <name val="Calibri"/>
      <family val="2"/>
      <scheme val="minor"/>
    </font>
    <font>
      <sz val="9"/>
      <color rgb="FFFF0000"/>
      <name val="Calibri"/>
      <family val="2"/>
      <scheme val="minor"/>
    </font>
    <font>
      <sz val="14"/>
      <name val="Calibri"/>
      <family val="2"/>
      <scheme val="minor"/>
    </font>
    <font>
      <b/>
      <sz val="11"/>
      <color theme="0" tint="-0.34998626667073579"/>
      <name val="Calibri"/>
      <family val="2"/>
      <scheme val="minor"/>
    </font>
    <font>
      <b/>
      <sz val="18"/>
      <color rgb="FFFF0000"/>
      <name val="Calibri"/>
      <family val="2"/>
      <scheme val="minor"/>
    </font>
    <font>
      <sz val="11"/>
      <color theme="0"/>
      <name val="Calibri"/>
      <family val="2"/>
      <scheme val="minor"/>
    </font>
    <font>
      <b/>
      <sz val="10"/>
      <color theme="1"/>
      <name val="Calibri"/>
      <family val="2"/>
      <scheme val="minor"/>
    </font>
    <font>
      <vertAlign val="subscript"/>
      <sz val="11"/>
      <color theme="1"/>
      <name val="Calibri"/>
      <family val="2"/>
      <scheme val="minor"/>
    </font>
    <font>
      <i/>
      <sz val="11"/>
      <color theme="1"/>
      <name val="Calibri"/>
      <family val="2"/>
      <scheme val="minor"/>
    </font>
    <font>
      <sz val="11"/>
      <color theme="1"/>
      <name val="Calibri"/>
      <family val="2"/>
    </font>
    <font>
      <sz val="11"/>
      <color rgb="FF000000"/>
      <name val="Calibri"/>
      <family val="2"/>
      <scheme val="minor"/>
    </font>
    <font>
      <vertAlign val="subscript"/>
      <sz val="11"/>
      <color rgb="FF000000"/>
      <name val="Calibri"/>
      <family val="2"/>
      <scheme val="minor"/>
    </font>
    <font>
      <b/>
      <i/>
      <sz val="11"/>
      <name val="Calibri"/>
      <family val="2"/>
      <scheme val="minor"/>
    </font>
    <font>
      <sz val="16"/>
      <color theme="1"/>
      <name val="Calibri"/>
      <family val="2"/>
      <scheme val="minor"/>
    </font>
    <font>
      <b/>
      <sz val="13.5"/>
      <color theme="1"/>
      <name val="Calibri"/>
      <family val="2"/>
      <scheme val="minor"/>
    </font>
    <font>
      <b/>
      <sz val="12"/>
      <color theme="9"/>
      <name val="Calibri"/>
      <family val="2"/>
      <scheme val="minor"/>
    </font>
    <font>
      <sz val="11"/>
      <color rgb="FF333333"/>
      <name val="Arial"/>
      <family val="2"/>
    </font>
    <font>
      <b/>
      <sz val="11"/>
      <color rgb="FF333333"/>
      <name val="Arial"/>
      <family val="2"/>
    </font>
    <font>
      <u/>
      <sz val="11"/>
      <color theme="10"/>
      <name val="Calibri"/>
      <family val="2"/>
      <scheme val="minor"/>
    </font>
    <font>
      <sz val="11"/>
      <color rgb="FF777777"/>
      <name val="Arial"/>
      <family val="2"/>
    </font>
    <font>
      <vertAlign val="subscript"/>
      <sz val="12"/>
      <color theme="1"/>
      <name val="Calibri"/>
      <family val="2"/>
      <scheme val="minor"/>
    </font>
    <font>
      <b/>
      <u/>
      <sz val="11"/>
      <color theme="1"/>
      <name val="Calibri"/>
      <family val="2"/>
      <scheme val="minor"/>
    </font>
    <font>
      <b/>
      <sz val="8"/>
      <color theme="0"/>
      <name val="Calibri"/>
      <family val="2"/>
      <scheme val="minor"/>
    </font>
    <font>
      <i/>
      <sz val="12"/>
      <color theme="1"/>
      <name val="Calibri"/>
      <family val="2"/>
      <scheme val="minor"/>
    </font>
    <font>
      <b/>
      <i/>
      <sz val="12"/>
      <color theme="1"/>
      <name val="Calibri"/>
      <family val="2"/>
      <scheme val="minor"/>
    </font>
    <font>
      <sz val="12"/>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b/>
      <sz val="22"/>
      <color theme="1"/>
      <name val="Calibri"/>
      <family val="2"/>
      <scheme val="minor"/>
    </font>
    <font>
      <b/>
      <sz val="18"/>
      <color theme="1"/>
      <name val="Calibri"/>
      <family val="2"/>
      <scheme val="minor"/>
    </font>
    <font>
      <sz val="14"/>
      <color theme="0"/>
      <name val="Calibri"/>
      <family val="2"/>
      <scheme val="minor"/>
    </font>
    <font>
      <sz val="9"/>
      <color theme="0"/>
      <name val="Calibri"/>
      <family val="2"/>
      <scheme val="minor"/>
    </font>
    <font>
      <u/>
      <sz val="12"/>
      <color theme="1"/>
      <name val="Calibri"/>
      <family val="2"/>
      <scheme val="minor"/>
    </font>
    <font>
      <b/>
      <i/>
      <sz val="11"/>
      <color theme="0"/>
      <name val="Calibri"/>
      <family val="2"/>
      <scheme val="minor"/>
    </font>
    <font>
      <sz val="11"/>
      <color rgb="FF9C6500"/>
      <name val="Calibri"/>
      <family val="2"/>
      <scheme val="minor"/>
    </font>
    <font>
      <b/>
      <sz val="16"/>
      <name val="Calibri"/>
      <family val="2"/>
      <scheme val="minor"/>
    </font>
    <font>
      <b/>
      <sz val="13"/>
      <name val="Calibri"/>
      <family val="2"/>
      <scheme val="minor"/>
    </font>
    <font>
      <sz val="13"/>
      <name val="Calibri"/>
      <family val="2"/>
      <scheme val="minor"/>
    </font>
    <font>
      <b/>
      <sz val="18"/>
      <name val="Calibri"/>
      <family val="2"/>
      <scheme val="minor"/>
    </font>
    <font>
      <sz val="10"/>
      <name val="Arial"/>
      <family val="2"/>
    </font>
    <font>
      <b/>
      <u/>
      <sz val="14"/>
      <name val="Arial"/>
      <family val="2"/>
    </font>
    <font>
      <sz val="22"/>
      <name val="Arial"/>
      <family val="2"/>
    </font>
    <font>
      <b/>
      <sz val="10"/>
      <name val="Arial"/>
      <family val="2"/>
    </font>
    <font>
      <sz val="10"/>
      <color theme="1"/>
      <name val="Arial"/>
      <family val="2"/>
    </font>
    <font>
      <i/>
      <sz val="10"/>
      <color theme="1"/>
      <name val="Arial"/>
      <family val="2"/>
    </font>
  </fonts>
  <fills count="35">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C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FFCCFF"/>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C0504D"/>
        <bgColor indexed="64"/>
      </patternFill>
    </fill>
    <fill>
      <patternFill patternType="solid">
        <fgColor theme="4" tint="0.79998168889431442"/>
        <bgColor indexed="64"/>
      </patternFill>
    </fill>
    <fill>
      <patternFill patternType="solid">
        <fgColor rgb="FF99CCFF"/>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7030A0"/>
        <bgColor indexed="64"/>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
      <patternFill patternType="solid">
        <fgColor rgb="FF0070C0"/>
        <bgColor indexed="64"/>
      </patternFill>
    </fill>
    <fill>
      <patternFill patternType="solid">
        <fgColor theme="5" tint="0.59999389629810485"/>
        <bgColor indexed="64"/>
      </patternFill>
    </fill>
    <fill>
      <patternFill patternType="solid">
        <fgColor rgb="FFFFEB9C"/>
      </patternFill>
    </fill>
  </fills>
  <borders count="9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rgb="FFC00000"/>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rgb="FFC00000"/>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rgb="FFC00000"/>
      </left>
      <right style="medium">
        <color rgb="FFC00000"/>
      </right>
      <top style="medium">
        <color rgb="FFC00000"/>
      </top>
      <bottom/>
      <diagonal/>
    </border>
    <border>
      <left/>
      <right style="medium">
        <color rgb="FFC0504D"/>
      </right>
      <top style="medium">
        <color rgb="FFC0504D"/>
      </top>
      <bottom/>
      <diagonal/>
    </border>
    <border>
      <left style="medium">
        <color rgb="FFC00000"/>
      </left>
      <right style="medium">
        <color rgb="FFC00000"/>
      </right>
      <top style="medium">
        <color rgb="FFC00000"/>
      </top>
      <bottom style="medium">
        <color rgb="FFC0504D"/>
      </bottom>
      <diagonal/>
    </border>
    <border>
      <left/>
      <right style="medium">
        <color rgb="FFC00000"/>
      </right>
      <top style="medium">
        <color rgb="FFC00000"/>
      </top>
      <bottom style="medium">
        <color rgb="FFC0504D"/>
      </bottom>
      <diagonal/>
    </border>
    <border>
      <left style="medium">
        <color rgb="FFC00000"/>
      </left>
      <right style="medium">
        <color rgb="FFC00000"/>
      </right>
      <top/>
      <bottom style="medium">
        <color rgb="FFC0504D"/>
      </bottom>
      <diagonal/>
    </border>
    <border>
      <left/>
      <right style="medium">
        <color rgb="FFC00000"/>
      </right>
      <top/>
      <bottom style="medium">
        <color rgb="FFC0504D"/>
      </bottom>
      <diagonal/>
    </border>
    <border>
      <left style="medium">
        <color rgb="FFC00000"/>
      </left>
      <right style="medium">
        <color rgb="FFC00000"/>
      </right>
      <top/>
      <bottom style="medium">
        <color rgb="FFC00000"/>
      </bottom>
      <diagonal/>
    </border>
    <border>
      <left/>
      <right style="medium">
        <color rgb="FFC00000"/>
      </right>
      <top/>
      <bottom style="medium">
        <color rgb="FFC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rgb="FFC00000"/>
      </left>
      <right style="medium">
        <color rgb="FFC00000"/>
      </right>
      <top style="medium">
        <color rgb="FFC00000"/>
      </top>
      <bottom style="thin">
        <color indexed="64"/>
      </bottom>
      <diagonal/>
    </border>
    <border>
      <left/>
      <right style="medium">
        <color rgb="FFC00000"/>
      </right>
      <top style="medium">
        <color rgb="FFC00000"/>
      </top>
      <bottom style="thin">
        <color indexed="64"/>
      </bottom>
      <diagonal/>
    </border>
    <border>
      <left style="medium">
        <color rgb="FFC00000"/>
      </left>
      <right style="medium">
        <color rgb="FFC00000"/>
      </right>
      <top style="thin">
        <color indexed="64"/>
      </top>
      <bottom style="thin">
        <color indexed="64"/>
      </bottom>
      <diagonal/>
    </border>
    <border>
      <left/>
      <right style="medium">
        <color rgb="FFC00000"/>
      </right>
      <top style="thin">
        <color indexed="64"/>
      </top>
      <bottom style="thin">
        <color indexed="64"/>
      </bottom>
      <diagonal/>
    </border>
    <border>
      <left style="medium">
        <color rgb="FFC00000"/>
      </left>
      <right style="medium">
        <color rgb="FFC00000"/>
      </right>
      <top style="thin">
        <color indexed="64"/>
      </top>
      <bottom style="medium">
        <color rgb="FFC00000"/>
      </bottom>
      <diagonal/>
    </border>
    <border>
      <left/>
      <right style="medium">
        <color rgb="FFC00000"/>
      </right>
      <top style="thin">
        <color indexed="64"/>
      </top>
      <bottom style="medium">
        <color rgb="FFC00000"/>
      </bottom>
      <diagonal/>
    </border>
    <border>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theme="1"/>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6">
    <xf numFmtId="0" fontId="0" fillId="0" borderId="0"/>
    <xf numFmtId="43" fontId="27" fillId="0" borderId="0" applyFont="0" applyFill="0" applyBorder="0" applyAlignment="0" applyProtection="0"/>
    <xf numFmtId="9" fontId="27" fillId="0" borderId="0" applyFont="0" applyFill="0" applyBorder="0" applyAlignment="0" applyProtection="0"/>
    <xf numFmtId="0" fontId="68" fillId="0" borderId="0" applyNumberFormat="0" applyFill="0" applyBorder="0" applyAlignment="0" applyProtection="0"/>
    <xf numFmtId="0" fontId="85" fillId="34" borderId="0" applyNumberFormat="0" applyBorder="0" applyAlignment="0" applyProtection="0"/>
    <xf numFmtId="0" fontId="90" fillId="0" borderId="0"/>
  </cellStyleXfs>
  <cellXfs count="1884">
    <xf numFmtId="0" fontId="0" fillId="0" borderId="0" xfId="0"/>
    <xf numFmtId="0" fontId="0" fillId="0" borderId="0" xfId="0" applyProtection="1">
      <protection locked="0"/>
    </xf>
    <xf numFmtId="0" fontId="0" fillId="0" borderId="0" xfId="0" applyAlignment="1" applyProtection="1">
      <alignment horizontal="center"/>
      <protection locked="0"/>
    </xf>
    <xf numFmtId="0" fontId="8" fillId="3" borderId="10" xfId="0" applyFont="1" applyFill="1" applyBorder="1" applyAlignment="1" applyProtection="1">
      <alignment horizontal="center"/>
      <protection locked="0"/>
    </xf>
    <xf numFmtId="2" fontId="0" fillId="0" borderId="0" xfId="0" applyNumberFormat="1" applyAlignment="1" applyProtection="1">
      <alignment horizontal="center"/>
      <protection locked="0"/>
    </xf>
    <xf numFmtId="0" fontId="6" fillId="0" borderId="0" xfId="0" applyFont="1" applyProtection="1">
      <protection locked="0"/>
    </xf>
    <xf numFmtId="0" fontId="9" fillId="3" borderId="2" xfId="0" applyFont="1" applyFill="1" applyBorder="1" applyAlignment="1" applyProtection="1">
      <alignment horizontal="center"/>
      <protection locked="0"/>
    </xf>
    <xf numFmtId="0" fontId="6" fillId="0" borderId="0" xfId="0" applyFont="1" applyAlignment="1" applyProtection="1">
      <alignment horizontal="center"/>
      <protection locked="0"/>
    </xf>
    <xf numFmtId="1" fontId="0" fillId="0" borderId="0" xfId="0" applyNumberFormat="1" applyAlignment="1" applyProtection="1">
      <alignment horizontal="center"/>
      <protection locked="0"/>
    </xf>
    <xf numFmtId="0" fontId="9" fillId="3" borderId="0" xfId="0" applyFont="1" applyFill="1" applyAlignment="1" applyProtection="1">
      <alignment horizontal="center"/>
      <protection locked="0"/>
    </xf>
    <xf numFmtId="0" fontId="9" fillId="3" borderId="5" xfId="0" applyFont="1" applyFill="1" applyBorder="1" applyAlignment="1" applyProtection="1">
      <alignment horizontal="center"/>
      <protection locked="0"/>
    </xf>
    <xf numFmtId="0" fontId="9" fillId="3" borderId="10" xfId="0" applyFont="1" applyFill="1" applyBorder="1" applyAlignment="1" applyProtection="1">
      <alignment horizontal="center"/>
      <protection locked="0"/>
    </xf>
    <xf numFmtId="0" fontId="9" fillId="3" borderId="13" xfId="0" applyFont="1" applyFill="1" applyBorder="1" applyAlignment="1" applyProtection="1">
      <alignment horizontal="center"/>
      <protection locked="0"/>
    </xf>
    <xf numFmtId="0" fontId="0" fillId="0" borderId="14" xfId="0" applyBorder="1"/>
    <xf numFmtId="0" fontId="6" fillId="0" borderId="0" xfId="0" applyFont="1" applyAlignment="1">
      <alignment horizontal="center"/>
    </xf>
    <xf numFmtId="0" fontId="6" fillId="0" borderId="0" xfId="0" applyFont="1"/>
    <xf numFmtId="0" fontId="0" fillId="13" borderId="1" xfId="0" applyFill="1" applyBorder="1"/>
    <xf numFmtId="0" fontId="0" fillId="0" borderId="7" xfId="0" applyBorder="1"/>
    <xf numFmtId="0" fontId="0" fillId="0" borderId="0" xfId="0" applyAlignment="1">
      <alignment horizontal="center"/>
    </xf>
    <xf numFmtId="0" fontId="0" fillId="0" borderId="9" xfId="0" applyBorder="1"/>
    <xf numFmtId="1" fontId="0" fillId="0" borderId="0" xfId="0" applyNumberFormat="1" applyAlignment="1">
      <alignment horizontal="center"/>
    </xf>
    <xf numFmtId="0" fontId="0" fillId="0" borderId="0" xfId="0" applyAlignment="1">
      <alignment horizontal="left"/>
    </xf>
    <xf numFmtId="0" fontId="10" fillId="0" borderId="0" xfId="0" applyFont="1" applyAlignment="1">
      <alignment horizontal="center"/>
    </xf>
    <xf numFmtId="0" fontId="34" fillId="0" borderId="0" xfId="0" applyFont="1" applyAlignment="1">
      <alignment horizontal="center"/>
    </xf>
    <xf numFmtId="0" fontId="9" fillId="0" borderId="0" xfId="0" applyFont="1" applyAlignment="1">
      <alignment horizontal="center"/>
    </xf>
    <xf numFmtId="0" fontId="11"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0" fillId="0" borderId="15" xfId="0" applyBorder="1"/>
    <xf numFmtId="0" fontId="18" fillId="0" borderId="0" xfId="0" applyFont="1" applyAlignment="1">
      <alignment horizontal="center"/>
    </xf>
    <xf numFmtId="0" fontId="18" fillId="0" borderId="0" xfId="0" applyFont="1"/>
    <xf numFmtId="1" fontId="0" fillId="0" borderId="0" xfId="0" applyNumberFormat="1"/>
    <xf numFmtId="0" fontId="12" fillId="0" borderId="0" xfId="0" applyFont="1" applyAlignment="1">
      <alignment horizontal="center"/>
    </xf>
    <xf numFmtId="2" fontId="6" fillId="0" borderId="0" xfId="0" applyNumberFormat="1" applyFont="1" applyAlignment="1">
      <alignment horizontal="center"/>
    </xf>
    <xf numFmtId="0" fontId="22" fillId="0" borderId="0" xfId="0" applyFont="1" applyAlignment="1">
      <alignment horizontal="center"/>
    </xf>
    <xf numFmtId="0" fontId="19" fillId="0" borderId="0" xfId="0" applyFont="1" applyAlignment="1">
      <alignment horizontal="center"/>
    </xf>
    <xf numFmtId="0" fontId="9" fillId="3" borderId="15" xfId="0" applyFont="1" applyFill="1" applyBorder="1" applyAlignment="1" applyProtection="1">
      <alignment horizontal="center"/>
      <protection locked="0"/>
    </xf>
    <xf numFmtId="0" fontId="9" fillId="3" borderId="14" xfId="0" applyFont="1" applyFill="1" applyBorder="1" applyAlignment="1" applyProtection="1">
      <alignment horizontal="center"/>
      <protection locked="0"/>
    </xf>
    <xf numFmtId="165" fontId="15" fillId="0" borderId="0" xfId="0" applyNumberFormat="1" applyFont="1" applyAlignment="1">
      <alignment horizontal="center"/>
    </xf>
    <xf numFmtId="0" fontId="31" fillId="0" borderId="0" xfId="0" applyFont="1"/>
    <xf numFmtId="0" fontId="6" fillId="0" borderId="1" xfId="0" applyFont="1" applyBorder="1"/>
    <xf numFmtId="0" fontId="0" fillId="0" borderId="13" xfId="0" applyBorder="1" applyAlignment="1">
      <alignment horizontal="center"/>
    </xf>
    <xf numFmtId="0" fontId="0" fillId="13" borderId="0" xfId="0" applyFill="1"/>
    <xf numFmtId="0" fontId="6" fillId="0" borderId="2" xfId="0" applyFont="1" applyBorder="1"/>
    <xf numFmtId="0" fontId="8" fillId="3" borderId="29" xfId="0" applyFont="1" applyFill="1" applyBorder="1" applyAlignment="1" applyProtection="1">
      <alignment horizontal="center"/>
      <protection locked="0"/>
    </xf>
    <xf numFmtId="1" fontId="6" fillId="0" borderId="12" xfId="0" applyNumberFormat="1" applyFont="1" applyBorder="1" applyAlignment="1">
      <alignment horizontal="center"/>
    </xf>
    <xf numFmtId="171" fontId="0" fillId="0" borderId="0" xfId="2" applyNumberFormat="1" applyFont="1"/>
    <xf numFmtId="0" fontId="67" fillId="0" borderId="0" xfId="0" applyFont="1" applyAlignment="1">
      <alignment horizontal="left" vertical="center" wrapText="1" indent="1"/>
    </xf>
    <xf numFmtId="0" fontId="69" fillId="0" borderId="0" xfId="0" applyFont="1" applyAlignment="1">
      <alignment horizontal="left" vertical="center" wrapText="1" indent="2"/>
    </xf>
    <xf numFmtId="1" fontId="6" fillId="0" borderId="0" xfId="0" applyNumberFormat="1" applyFont="1" applyAlignment="1">
      <alignment horizontal="center"/>
    </xf>
    <xf numFmtId="1" fontId="18" fillId="0" borderId="0" xfId="0" applyNumberFormat="1" applyFont="1" applyAlignment="1">
      <alignment horizontal="center"/>
    </xf>
    <xf numFmtId="1" fontId="9" fillId="0" borderId="0" xfId="0" applyNumberFormat="1" applyFont="1" applyAlignment="1">
      <alignment horizontal="center"/>
    </xf>
    <xf numFmtId="0" fontId="23" fillId="0" borderId="0" xfId="0" applyFont="1" applyAlignment="1">
      <alignment horizontal="center" vertical="center"/>
    </xf>
    <xf numFmtId="1" fontId="9" fillId="0" borderId="0" xfId="0" applyNumberFormat="1" applyFont="1" applyAlignment="1">
      <alignment horizontal="center" vertical="center"/>
    </xf>
    <xf numFmtId="1" fontId="0" fillId="0" borderId="0" xfId="0" applyNumberFormat="1" applyAlignment="1">
      <alignment horizontal="center" vertical="center"/>
    </xf>
    <xf numFmtId="1" fontId="10" fillId="0" borderId="0" xfId="0" applyNumberFormat="1" applyFont="1" applyAlignment="1">
      <alignment horizontal="center" vertical="center"/>
    </xf>
    <xf numFmtId="1" fontId="23" fillId="0" borderId="0" xfId="0" applyNumberFormat="1" applyFont="1" applyAlignment="1">
      <alignment horizontal="center" vertical="center"/>
    </xf>
    <xf numFmtId="0" fontId="0" fillId="13" borderId="0" xfId="0" applyFill="1" applyAlignment="1">
      <alignment horizontal="center"/>
    </xf>
    <xf numFmtId="1" fontId="0" fillId="13" borderId="0" xfId="0" applyNumberFormat="1" applyFill="1"/>
    <xf numFmtId="2" fontId="0" fillId="13" borderId="0" xfId="0" applyNumberFormat="1" applyFill="1" applyAlignment="1">
      <alignment horizontal="center"/>
    </xf>
    <xf numFmtId="2" fontId="0" fillId="13" borderId="0" xfId="0" applyNumberFormat="1" applyFill="1"/>
    <xf numFmtId="0" fontId="6" fillId="13" borderId="0" xfId="0" applyFont="1" applyFill="1"/>
    <xf numFmtId="0" fontId="6" fillId="13" borderId="2" xfId="0" applyFont="1" applyFill="1" applyBorder="1"/>
    <xf numFmtId="0" fontId="0" fillId="13" borderId="2" xfId="0" applyFill="1" applyBorder="1"/>
    <xf numFmtId="0" fontId="0" fillId="13" borderId="3" xfId="0" applyFill="1" applyBorder="1"/>
    <xf numFmtId="0" fontId="6" fillId="13" borderId="1" xfId="0" applyFont="1" applyFill="1" applyBorder="1"/>
    <xf numFmtId="0" fontId="8" fillId="3" borderId="15" xfId="0" applyFont="1" applyFill="1" applyBorder="1" applyAlignment="1" applyProtection="1">
      <alignment horizontal="center"/>
      <protection locked="0"/>
    </xf>
    <xf numFmtId="1" fontId="15" fillId="0" borderId="0" xfId="0" applyNumberFormat="1" applyFont="1" applyAlignment="1">
      <alignment horizontal="center"/>
    </xf>
    <xf numFmtId="0" fontId="55" fillId="0" borderId="0" xfId="0" applyFont="1"/>
    <xf numFmtId="1" fontId="15" fillId="0" borderId="12" xfId="0" applyNumberFormat="1" applyFont="1" applyBorder="1" applyAlignment="1">
      <alignment horizontal="center"/>
    </xf>
    <xf numFmtId="0" fontId="0" fillId="13" borderId="4" xfId="0" applyFill="1" applyBorder="1"/>
    <xf numFmtId="0" fontId="0" fillId="13" borderId="5" xfId="0" applyFill="1" applyBorder="1"/>
    <xf numFmtId="0" fontId="0" fillId="13" borderId="7" xfId="0" applyFill="1" applyBorder="1"/>
    <xf numFmtId="0" fontId="0" fillId="13" borderId="9" xfId="0" applyFill="1" applyBorder="1"/>
    <xf numFmtId="0" fontId="0" fillId="13" borderId="10" xfId="0" applyFill="1" applyBorder="1"/>
    <xf numFmtId="1" fontId="0" fillId="13" borderId="0" xfId="0" applyNumberFormat="1" applyFill="1" applyAlignment="1">
      <alignment horizontal="center"/>
    </xf>
    <xf numFmtId="164" fontId="0" fillId="13" borderId="0" xfId="0" applyNumberFormat="1" applyFill="1" applyAlignment="1">
      <alignment horizontal="center"/>
    </xf>
    <xf numFmtId="0" fontId="0" fillId="13" borderId="5" xfId="0" applyFill="1" applyBorder="1" applyAlignment="1">
      <alignment horizontal="center"/>
    </xf>
    <xf numFmtId="0" fontId="0" fillId="13" borderId="6" xfId="0" applyFill="1" applyBorder="1" applyAlignment="1">
      <alignment horizontal="center"/>
    </xf>
    <xf numFmtId="167" fontId="0" fillId="13" borderId="8" xfId="0" applyNumberFormat="1" applyFill="1" applyBorder="1" applyAlignment="1">
      <alignment horizontal="center"/>
    </xf>
    <xf numFmtId="2" fontId="0" fillId="13" borderId="10" xfId="0" applyNumberFormat="1" applyFill="1" applyBorder="1" applyAlignment="1">
      <alignment horizontal="center"/>
    </xf>
    <xf numFmtId="167" fontId="0" fillId="13" borderId="11" xfId="0" applyNumberFormat="1" applyFill="1" applyBorder="1" applyAlignment="1">
      <alignment horizontal="center"/>
    </xf>
    <xf numFmtId="0" fontId="0" fillId="13" borderId="2" xfId="0" applyFill="1" applyBorder="1" applyAlignment="1">
      <alignment horizontal="center"/>
    </xf>
    <xf numFmtId="0" fontId="0" fillId="13" borderId="3" xfId="0" applyFill="1" applyBorder="1" applyAlignment="1">
      <alignment horizontal="center"/>
    </xf>
    <xf numFmtId="1" fontId="15" fillId="0" borderId="1" xfId="0" applyNumberFormat="1" applyFont="1" applyBorder="1" applyAlignment="1">
      <alignment horizontal="center"/>
    </xf>
    <xf numFmtId="0" fontId="0" fillId="25" borderId="7" xfId="0" applyFill="1" applyBorder="1"/>
    <xf numFmtId="0" fontId="0" fillId="25" borderId="0" xfId="0" applyFill="1"/>
    <xf numFmtId="0" fontId="55" fillId="28" borderId="7" xfId="0" applyFont="1" applyFill="1" applyBorder="1"/>
    <xf numFmtId="0" fontId="0" fillId="29" borderId="7" xfId="0" applyFill="1" applyBorder="1"/>
    <xf numFmtId="0" fontId="0" fillId="29" borderId="0" xfId="0" applyFill="1"/>
    <xf numFmtId="0" fontId="55" fillId="30" borderId="9" xfId="0" applyFont="1" applyFill="1" applyBorder="1"/>
    <xf numFmtId="0" fontId="55" fillId="30" borderId="10" xfId="0" applyFont="1" applyFill="1" applyBorder="1"/>
    <xf numFmtId="0" fontId="0" fillId="25" borderId="4" xfId="0" applyFill="1" applyBorder="1"/>
    <xf numFmtId="0" fontId="0" fillId="25" borderId="5" xfId="0" applyFill="1" applyBorder="1"/>
    <xf numFmtId="0" fontId="0" fillId="25" borderId="9" xfId="0" applyFill="1" applyBorder="1"/>
    <xf numFmtId="0" fontId="0" fillId="25" borderId="10" xfId="0" applyFill="1" applyBorder="1"/>
    <xf numFmtId="0" fontId="0" fillId="27" borderId="4" xfId="0" applyFill="1" applyBorder="1"/>
    <xf numFmtId="0" fontId="0" fillId="27" borderId="5" xfId="0" applyFill="1" applyBorder="1"/>
    <xf numFmtId="0" fontId="0" fillId="27" borderId="9" xfId="0" applyFill="1" applyBorder="1"/>
    <xf numFmtId="0" fontId="0" fillId="27" borderId="10" xfId="0" applyFill="1" applyBorder="1"/>
    <xf numFmtId="0" fontId="55" fillId="28" borderId="4" xfId="0" applyFont="1" applyFill="1" applyBorder="1"/>
    <xf numFmtId="0" fontId="55" fillId="28" borderId="9" xfId="0" applyFont="1" applyFill="1" applyBorder="1"/>
    <xf numFmtId="0" fontId="55" fillId="31" borderId="1" xfId="0" applyFont="1" applyFill="1" applyBorder="1"/>
    <xf numFmtId="0" fontId="55" fillId="31" borderId="2" xfId="0" applyFont="1" applyFill="1" applyBorder="1"/>
    <xf numFmtId="1" fontId="15" fillId="0" borderId="15" xfId="0" applyNumberFormat="1" applyFont="1" applyBorder="1" applyAlignment="1">
      <alignment horizontal="center"/>
    </xf>
    <xf numFmtId="0" fontId="18" fillId="3" borderId="70" xfId="0" applyFont="1" applyFill="1" applyBorder="1" applyAlignment="1" applyProtection="1">
      <alignment horizontal="center"/>
      <protection locked="0"/>
    </xf>
    <xf numFmtId="1" fontId="9" fillId="0" borderId="1" xfId="0" applyNumberFormat="1" applyFont="1" applyBorder="1" applyAlignment="1">
      <alignment horizontal="center"/>
    </xf>
    <xf numFmtId="0" fontId="72" fillId="0" borderId="61" xfId="0" applyFont="1" applyBorder="1" applyAlignment="1">
      <alignment horizontal="center"/>
    </xf>
    <xf numFmtId="0" fontId="72" fillId="0" borderId="59" xfId="0" applyFont="1" applyBorder="1" applyAlignment="1">
      <alignment horizontal="center"/>
    </xf>
    <xf numFmtId="0" fontId="72" fillId="0" borderId="2" xfId="0" applyFont="1" applyBorder="1" applyAlignment="1">
      <alignment horizontal="center"/>
    </xf>
    <xf numFmtId="0" fontId="72" fillId="0" borderId="54" xfId="0" applyFont="1" applyBorder="1" applyAlignment="1">
      <alignment horizontal="center"/>
    </xf>
    <xf numFmtId="0" fontId="72" fillId="0" borderId="56" xfId="0" applyFont="1" applyBorder="1" applyAlignment="1">
      <alignment horizontal="center"/>
    </xf>
    <xf numFmtId="0" fontId="72" fillId="0" borderId="63" xfId="0" applyFont="1" applyBorder="1" applyAlignment="1">
      <alignment horizontal="center"/>
    </xf>
    <xf numFmtId="0" fontId="72" fillId="0" borderId="10" xfId="0" applyFont="1" applyBorder="1" applyAlignment="1">
      <alignment horizontal="center"/>
    </xf>
    <xf numFmtId="0" fontId="43" fillId="0" borderId="0" xfId="0" applyFont="1"/>
    <xf numFmtId="166" fontId="24" fillId="6" borderId="12" xfId="1" applyNumberFormat="1" applyFont="1" applyFill="1" applyBorder="1" applyAlignment="1">
      <alignment vertical="center"/>
    </xf>
    <xf numFmtId="0" fontId="23" fillId="6" borderId="12" xfId="0" quotePrefix="1" applyFont="1" applyFill="1" applyBorder="1" applyAlignment="1">
      <alignment horizontal="center"/>
    </xf>
    <xf numFmtId="172" fontId="0" fillId="0" borderId="0" xfId="0" applyNumberFormat="1"/>
    <xf numFmtId="171" fontId="24" fillId="6" borderId="12" xfId="2" applyNumberFormat="1" applyFont="1" applyFill="1" applyBorder="1" applyAlignment="1">
      <alignment horizontal="center"/>
    </xf>
    <xf numFmtId="0" fontId="26" fillId="7" borderId="0" xfId="0" applyFont="1" applyFill="1"/>
    <xf numFmtId="0" fontId="75" fillId="30" borderId="0" xfId="0" applyFont="1" applyFill="1"/>
    <xf numFmtId="0" fontId="76" fillId="30" borderId="0" xfId="0" applyFont="1" applyFill="1"/>
    <xf numFmtId="0" fontId="75" fillId="28" borderId="0" xfId="0" applyFont="1" applyFill="1"/>
    <xf numFmtId="0" fontId="76" fillId="28" borderId="0" xfId="0" applyFont="1" applyFill="1"/>
    <xf numFmtId="0" fontId="77" fillId="28" borderId="0" xfId="0" applyFont="1" applyFill="1"/>
    <xf numFmtId="0" fontId="78" fillId="0" borderId="0" xfId="0" applyFont="1" applyAlignment="1">
      <alignment horizontal="center"/>
    </xf>
    <xf numFmtId="0" fontId="26" fillId="7" borderId="0" xfId="0" applyFont="1" applyFill="1" applyAlignment="1">
      <alignment horizontal="center"/>
    </xf>
    <xf numFmtId="1" fontId="15" fillId="0" borderId="27" xfId="0" applyNumberFormat="1" applyFont="1" applyBorder="1" applyAlignment="1">
      <alignment horizontal="center"/>
    </xf>
    <xf numFmtId="1" fontId="15" fillId="0" borderId="72" xfId="0" applyNumberFormat="1" applyFont="1" applyBorder="1" applyAlignment="1">
      <alignment horizontal="center"/>
    </xf>
    <xf numFmtId="1" fontId="15" fillId="0" borderId="25" xfId="0" applyNumberFormat="1" applyFont="1" applyBorder="1" applyAlignment="1">
      <alignment horizontal="center"/>
    </xf>
    <xf numFmtId="1" fontId="15" fillId="0" borderId="26" xfId="0" applyNumberFormat="1" applyFont="1" applyBorder="1" applyAlignment="1">
      <alignment horizontal="center"/>
    </xf>
    <xf numFmtId="1" fontId="15" fillId="0" borderId="71" xfId="0" applyNumberFormat="1" applyFont="1" applyBorder="1" applyAlignment="1">
      <alignment horizontal="center"/>
    </xf>
    <xf numFmtId="0" fontId="0" fillId="23" borderId="0" xfId="0" applyFill="1"/>
    <xf numFmtId="0" fontId="0" fillId="23" borderId="67" xfId="0" applyFill="1" applyBorder="1"/>
    <xf numFmtId="0" fontId="0" fillId="23" borderId="59" xfId="0" applyFill="1" applyBorder="1"/>
    <xf numFmtId="0" fontId="0" fillId="23" borderId="30" xfId="0" applyFill="1" applyBorder="1"/>
    <xf numFmtId="0" fontId="0" fillId="23" borderId="80" xfId="0" applyFill="1" applyBorder="1"/>
    <xf numFmtId="0" fontId="0" fillId="23" borderId="74" xfId="0" applyFill="1" applyBorder="1"/>
    <xf numFmtId="0" fontId="0" fillId="23" borderId="68" xfId="0" applyFill="1" applyBorder="1"/>
    <xf numFmtId="0" fontId="0" fillId="23" borderId="56" xfId="0" applyFill="1" applyBorder="1"/>
    <xf numFmtId="0" fontId="0" fillId="23" borderId="69" xfId="0" applyFill="1" applyBorder="1"/>
    <xf numFmtId="0" fontId="55" fillId="28" borderId="0" xfId="0" applyFont="1" applyFill="1" applyAlignment="1">
      <alignment horizontal="center"/>
    </xf>
    <xf numFmtId="0" fontId="6" fillId="9" borderId="1" xfId="0" applyFont="1" applyFill="1" applyBorder="1"/>
    <xf numFmtId="0" fontId="0" fillId="9" borderId="3" xfId="0" applyFill="1" applyBorder="1"/>
    <xf numFmtId="0" fontId="8" fillId="3" borderId="13" xfId="0" applyFont="1" applyFill="1" applyBorder="1" applyAlignment="1" applyProtection="1">
      <alignment horizontal="center"/>
      <protection locked="0"/>
    </xf>
    <xf numFmtId="0" fontId="72" fillId="27" borderId="56" xfId="0" applyFont="1" applyFill="1" applyBorder="1" applyAlignment="1">
      <alignment horizontal="center" vertical="center"/>
    </xf>
    <xf numFmtId="0" fontId="18" fillId="3" borderId="29" xfId="0" applyFont="1" applyFill="1" applyBorder="1" applyAlignment="1" applyProtection="1">
      <alignment horizontal="center"/>
      <protection locked="0"/>
    </xf>
    <xf numFmtId="0" fontId="21" fillId="23" borderId="80" xfId="0" applyFont="1" applyFill="1" applyBorder="1"/>
    <xf numFmtId="2" fontId="18" fillId="3" borderId="29" xfId="0" applyNumberFormat="1" applyFont="1" applyFill="1" applyBorder="1" applyAlignment="1" applyProtection="1">
      <alignment horizontal="center"/>
      <protection locked="0"/>
    </xf>
    <xf numFmtId="165" fontId="18" fillId="3" borderId="29" xfId="0" applyNumberFormat="1" applyFont="1" applyFill="1" applyBorder="1" applyAlignment="1" applyProtection="1">
      <alignment horizontal="center"/>
      <protection locked="0"/>
    </xf>
    <xf numFmtId="0" fontId="85" fillId="6" borderId="12" xfId="4" applyFill="1" applyBorder="1" applyAlignment="1">
      <alignment horizontal="center"/>
    </xf>
    <xf numFmtId="0" fontId="0" fillId="6" borderId="0" xfId="0" applyFill="1" applyProtection="1">
      <protection locked="0"/>
    </xf>
    <xf numFmtId="0" fontId="9" fillId="3" borderId="12" xfId="0" applyFont="1" applyFill="1" applyBorder="1" applyAlignment="1" applyProtection="1">
      <alignment horizontal="center"/>
      <protection locked="0"/>
    </xf>
    <xf numFmtId="0" fontId="89" fillId="6" borderId="1" xfId="0" applyFont="1" applyFill="1" applyBorder="1" applyAlignment="1">
      <alignment horizontal="center"/>
    </xf>
    <xf numFmtId="0" fontId="54" fillId="6" borderId="3" xfId="0" applyFont="1" applyFill="1" applyBorder="1" applyAlignment="1">
      <alignment horizontal="center"/>
    </xf>
    <xf numFmtId="0" fontId="9" fillId="3" borderId="27" xfId="0" applyFont="1" applyFill="1" applyBorder="1" applyAlignment="1" applyProtection="1">
      <alignment horizontal="center"/>
      <protection locked="0"/>
    </xf>
    <xf numFmtId="0" fontId="9" fillId="3" borderId="25" xfId="0" applyFont="1" applyFill="1" applyBorder="1" applyAlignment="1" applyProtection="1">
      <alignment horizontal="center"/>
      <protection locked="0"/>
    </xf>
    <xf numFmtId="0" fontId="9" fillId="3" borderId="26" xfId="0" applyFont="1" applyFill="1" applyBorder="1" applyAlignment="1" applyProtection="1">
      <alignment horizontal="center"/>
      <protection locked="0"/>
    </xf>
    <xf numFmtId="0" fontId="26" fillId="0" borderId="0" xfId="0" applyFont="1" applyAlignment="1">
      <alignment horizontal="center"/>
    </xf>
    <xf numFmtId="0" fontId="90" fillId="7" borderId="0" xfId="5" applyFill="1"/>
    <xf numFmtId="0" fontId="90" fillId="0" borderId="0" xfId="5"/>
    <xf numFmtId="0" fontId="90" fillId="7" borderId="84" xfId="5" applyFill="1" applyBorder="1"/>
    <xf numFmtId="0" fontId="90" fillId="7" borderId="85" xfId="5" applyFill="1" applyBorder="1"/>
    <xf numFmtId="0" fontId="90" fillId="7" borderId="86" xfId="5" applyFill="1" applyBorder="1"/>
    <xf numFmtId="0" fontId="90" fillId="7" borderId="87" xfId="5" applyFill="1" applyBorder="1"/>
    <xf numFmtId="0" fontId="90" fillId="7" borderId="88" xfId="5" applyFill="1" applyBorder="1"/>
    <xf numFmtId="0" fontId="90" fillId="7" borderId="89" xfId="5" applyFill="1" applyBorder="1"/>
    <xf numFmtId="0" fontId="90" fillId="7" borderId="90" xfId="5" applyFill="1" applyBorder="1"/>
    <xf numFmtId="0" fontId="90" fillId="7" borderId="91" xfId="5" applyFill="1" applyBorder="1"/>
    <xf numFmtId="0" fontId="90" fillId="7" borderId="0" xfId="5" applyFill="1" applyAlignment="1">
      <alignment horizontal="center" wrapText="1"/>
    </xf>
    <xf numFmtId="0" fontId="90" fillId="7" borderId="0" xfId="5" applyFill="1" applyAlignment="1">
      <alignment vertical="center"/>
    </xf>
    <xf numFmtId="0" fontId="90" fillId="7" borderId="0" xfId="5" applyFill="1" applyAlignment="1">
      <alignment vertical="center" wrapText="1"/>
    </xf>
    <xf numFmtId="0" fontId="90" fillId="0" borderId="0" xfId="5" applyAlignment="1">
      <alignment vertical="center"/>
    </xf>
    <xf numFmtId="0" fontId="93" fillId="7" borderId="0" xfId="5" applyFont="1" applyFill="1"/>
    <xf numFmtId="0" fontId="90" fillId="7" borderId="0" xfId="5" applyFill="1" applyAlignment="1">
      <alignment vertical="top" wrapText="1"/>
    </xf>
    <xf numFmtId="0" fontId="93" fillId="7" borderId="0" xfId="5" applyFont="1" applyFill="1" applyAlignment="1">
      <alignment vertical="center"/>
    </xf>
    <xf numFmtId="0" fontId="90" fillId="7" borderId="0" xfId="5" applyFill="1" applyAlignment="1">
      <alignment wrapText="1"/>
    </xf>
    <xf numFmtId="0" fontId="90" fillId="7" borderId="0" xfId="5" quotePrefix="1" applyFill="1"/>
    <xf numFmtId="14" fontId="90" fillId="7" borderId="0" xfId="5" quotePrefix="1" applyNumberFormat="1" applyFill="1" applyAlignment="1">
      <alignment vertical="center"/>
    </xf>
    <xf numFmtId="0" fontId="54" fillId="0" borderId="0" xfId="0" applyFont="1"/>
    <xf numFmtId="0" fontId="20" fillId="0" borderId="0" xfId="0" applyFont="1"/>
    <xf numFmtId="0" fontId="75" fillId="0" borderId="0" xfId="0" applyFont="1"/>
    <xf numFmtId="0" fontId="76" fillId="0" borderId="0" xfId="0" applyFont="1"/>
    <xf numFmtId="0" fontId="77" fillId="0" borderId="0" xfId="0" applyFont="1"/>
    <xf numFmtId="0" fontId="75" fillId="0" borderId="0" xfId="0" applyFont="1" applyAlignment="1">
      <alignment horizontal="right"/>
    </xf>
    <xf numFmtId="0" fontId="7" fillId="0" borderId="1" xfId="0" applyFont="1" applyBorder="1"/>
    <xf numFmtId="0" fontId="26" fillId="13" borderId="7" xfId="0" applyFont="1" applyFill="1" applyBorder="1"/>
    <xf numFmtId="0" fontId="26" fillId="13" borderId="0" xfId="0" applyFont="1" applyFill="1"/>
    <xf numFmtId="0" fontId="26" fillId="13" borderId="8" xfId="0" applyFont="1" applyFill="1" applyBorder="1"/>
    <xf numFmtId="0" fontId="0" fillId="13" borderId="8" xfId="0" applyFill="1" applyBorder="1"/>
    <xf numFmtId="0" fontId="26" fillId="13" borderId="9" xfId="0" applyFont="1" applyFill="1" applyBorder="1" applyAlignment="1">
      <alignment horizontal="left" vertical="top"/>
    </xf>
    <xf numFmtId="0" fontId="26" fillId="13" borderId="10" xfId="0" applyFont="1" applyFill="1" applyBorder="1" applyAlignment="1">
      <alignment horizontal="center" vertical="top"/>
    </xf>
    <xf numFmtId="0" fontId="26" fillId="13" borderId="11" xfId="0" applyFont="1" applyFill="1" applyBorder="1" applyAlignment="1">
      <alignment horizontal="center" vertical="top"/>
    </xf>
    <xf numFmtId="0" fontId="7" fillId="6" borderId="2" xfId="0" applyFont="1" applyFill="1" applyBorder="1" applyAlignment="1">
      <alignment horizontal="center"/>
    </xf>
    <xf numFmtId="0" fontId="7" fillId="6" borderId="3" xfId="0" applyFont="1" applyFill="1" applyBorder="1" applyAlignment="1">
      <alignment horizontal="center"/>
    </xf>
    <xf numFmtId="0" fontId="7" fillId="0" borderId="0" xfId="0" applyFont="1" applyAlignment="1">
      <alignment horizontal="center"/>
    </xf>
    <xf numFmtId="0" fontId="18" fillId="0" borderId="0" xfId="0" applyFont="1" applyAlignment="1">
      <alignment horizontal="right"/>
    </xf>
    <xf numFmtId="0" fontId="9" fillId="0" borderId="0" xfId="0" applyFont="1" applyAlignment="1">
      <alignment horizontal="left"/>
    </xf>
    <xf numFmtId="0" fontId="2" fillId="0" borderId="4" xfId="0" applyFont="1" applyBorder="1" applyAlignment="1">
      <alignment vertical="center"/>
    </xf>
    <xf numFmtId="0" fontId="26" fillId="0" borderId="6" xfId="0" applyFont="1" applyBorder="1"/>
    <xf numFmtId="0" fontId="15" fillId="0" borderId="15" xfId="0" applyFont="1" applyBorder="1" applyAlignment="1">
      <alignment horizontal="center" wrapText="1"/>
    </xf>
    <xf numFmtId="0" fontId="15" fillId="0" borderId="0" xfId="0" applyFont="1" applyAlignment="1">
      <alignment horizontal="center" wrapText="1"/>
    </xf>
    <xf numFmtId="0" fontId="3" fillId="0" borderId="7" xfId="0" applyFont="1" applyBorder="1"/>
    <xf numFmtId="0" fontId="26" fillId="0" borderId="0" xfId="0" applyFont="1"/>
    <xf numFmtId="0" fontId="31" fillId="0" borderId="8" xfId="0" applyFont="1" applyBorder="1"/>
    <xf numFmtId="0" fontId="26" fillId="0" borderId="13" xfId="0" applyFont="1" applyBorder="1" applyAlignment="1">
      <alignment horizontal="center" vertical="center"/>
    </xf>
    <xf numFmtId="0" fontId="26" fillId="0" borderId="5" xfId="0" applyFont="1" applyBorder="1" applyAlignment="1">
      <alignment horizontal="center"/>
    </xf>
    <xf numFmtId="0" fontId="26" fillId="0" borderId="13" xfId="0" applyFont="1" applyBorder="1" applyAlignment="1">
      <alignment horizontal="center"/>
    </xf>
    <xf numFmtId="0" fontId="9" fillId="0" borderId="13" xfId="0" applyFont="1" applyBorder="1" applyAlignment="1">
      <alignment horizontal="center"/>
    </xf>
    <xf numFmtId="0" fontId="5" fillId="0" borderId="7" xfId="0" applyFont="1" applyBorder="1"/>
    <xf numFmtId="0" fontId="31" fillId="0" borderId="8" xfId="0" applyFont="1" applyBorder="1" applyAlignment="1">
      <alignment horizontal="center"/>
    </xf>
    <xf numFmtId="0" fontId="15" fillId="13" borderId="14" xfId="0" applyFont="1" applyFill="1" applyBorder="1" applyAlignment="1">
      <alignment horizontal="center" vertical="center"/>
    </xf>
    <xf numFmtId="0" fontId="0" fillId="0" borderId="14" xfId="0" applyBorder="1" applyAlignment="1">
      <alignment horizontal="center"/>
    </xf>
    <xf numFmtId="0" fontId="26" fillId="0" borderId="14" xfId="0" applyFont="1" applyBorder="1" applyAlignment="1">
      <alignment horizontal="center"/>
    </xf>
    <xf numFmtId="0" fontId="9" fillId="0" borderId="14" xfId="0" applyFont="1" applyBorder="1" applyAlignment="1">
      <alignment horizontal="center"/>
    </xf>
    <xf numFmtId="0" fontId="15" fillId="6" borderId="5" xfId="0" applyFont="1" applyFill="1" applyBorder="1"/>
    <xf numFmtId="0" fontId="7" fillId="6" borderId="5" xfId="0" applyFont="1" applyFill="1" applyBorder="1"/>
    <xf numFmtId="0" fontId="7" fillId="6" borderId="6" xfId="0" applyFont="1" applyFill="1" applyBorder="1"/>
    <xf numFmtId="0" fontId="26" fillId="0" borderId="15" xfId="0" applyFont="1" applyBorder="1" applyAlignment="1">
      <alignment horizontal="center" vertical="center"/>
    </xf>
    <xf numFmtId="0" fontId="0" fillId="0" borderId="15" xfId="0" applyBorder="1" applyAlignment="1">
      <alignment horizontal="center"/>
    </xf>
    <xf numFmtId="0" fontId="26" fillId="0" borderId="10" xfId="0" applyFont="1" applyBorder="1" applyAlignment="1">
      <alignment horizontal="center"/>
    </xf>
    <xf numFmtId="0" fontId="26" fillId="0" borderId="15" xfId="0" applyFont="1" applyBorder="1" applyAlignment="1">
      <alignment horizontal="center"/>
    </xf>
    <xf numFmtId="0" fontId="32" fillId="6" borderId="2" xfId="0" applyFont="1" applyFill="1" applyBorder="1"/>
    <xf numFmtId="0" fontId="32" fillId="6" borderId="3" xfId="0" applyFont="1" applyFill="1" applyBorder="1"/>
    <xf numFmtId="0" fontId="44" fillId="13" borderId="12" xfId="0" applyFont="1" applyFill="1" applyBorder="1" applyAlignment="1">
      <alignment horizontal="center" vertical="top" wrapText="1"/>
    </xf>
    <xf numFmtId="0" fontId="26" fillId="0" borderId="14" xfId="0" applyFont="1" applyBorder="1" applyAlignment="1">
      <alignment horizontal="center" vertical="center"/>
    </xf>
    <xf numFmtId="0" fontId="9" fillId="0" borderId="71" xfId="0" applyFont="1" applyBorder="1" applyAlignment="1">
      <alignment horizontal="center"/>
    </xf>
    <xf numFmtId="0" fontId="0" fillId="0" borderId="2" xfId="0" applyBorder="1"/>
    <xf numFmtId="0" fontId="5" fillId="0" borderId="7" xfId="0" applyFont="1" applyBorder="1" applyAlignment="1">
      <alignment horizontal="left"/>
    </xf>
    <xf numFmtId="0" fontId="22" fillId="13" borderId="14" xfId="0" applyFont="1" applyFill="1" applyBorder="1" applyAlignment="1">
      <alignment horizontal="center" vertical="center"/>
    </xf>
    <xf numFmtId="0" fontId="31" fillId="0" borderId="12" xfId="0" applyFont="1" applyBorder="1" applyAlignment="1">
      <alignment horizontal="center"/>
    </xf>
    <xf numFmtId="0" fontId="9" fillId="0" borderId="72" xfId="0" applyFont="1" applyBorder="1" applyAlignment="1">
      <alignment horizontal="center"/>
    </xf>
    <xf numFmtId="0" fontId="7" fillId="6" borderId="11" xfId="0" applyFont="1" applyFill="1" applyBorder="1" applyAlignment="1">
      <alignment horizontal="center"/>
    </xf>
    <xf numFmtId="0" fontId="15" fillId="6" borderId="10" xfId="0" applyFont="1" applyFill="1" applyBorder="1"/>
    <xf numFmtId="0" fontId="7" fillId="6" borderId="10" xfId="0" applyFont="1" applyFill="1" applyBorder="1"/>
    <xf numFmtId="0" fontId="7" fillId="6" borderId="11" xfId="0" applyFont="1" applyFill="1" applyBorder="1"/>
    <xf numFmtId="0" fontId="26" fillId="0" borderId="7" xfId="0" applyFont="1" applyBorder="1"/>
    <xf numFmtId="0" fontId="22" fillId="6" borderId="5" xfId="0" applyFont="1" applyFill="1" applyBorder="1"/>
    <xf numFmtId="0" fontId="22" fillId="6" borderId="6" xfId="0" applyFont="1" applyFill="1" applyBorder="1"/>
    <xf numFmtId="0" fontId="31" fillId="0" borderId="11" xfId="0" applyFont="1" applyBorder="1"/>
    <xf numFmtId="0" fontId="15" fillId="6" borderId="0" xfId="0" applyFont="1" applyFill="1"/>
    <xf numFmtId="0" fontId="6" fillId="6" borderId="0" xfId="0" applyFont="1" applyFill="1"/>
    <xf numFmtId="0" fontId="6" fillId="6" borderId="8" xfId="0" applyFont="1" applyFill="1" applyBorder="1"/>
    <xf numFmtId="0" fontId="58" fillId="0" borderId="0" xfId="0" applyFont="1"/>
    <xf numFmtId="0" fontId="9" fillId="0" borderId="15" xfId="0" applyFont="1" applyBorder="1" applyAlignment="1">
      <alignment horizontal="center"/>
    </xf>
    <xf numFmtId="0" fontId="22" fillId="6" borderId="10" xfId="0" applyFont="1" applyFill="1" applyBorder="1"/>
    <xf numFmtId="0" fontId="22" fillId="6" borderId="11" xfId="0" applyFont="1" applyFill="1" applyBorder="1"/>
    <xf numFmtId="0" fontId="5" fillId="0" borderId="9" xfId="0" applyFont="1" applyBorder="1"/>
    <xf numFmtId="0" fontId="0" fillId="0" borderId="10" xfId="0" applyBorder="1"/>
    <xf numFmtId="0" fontId="26" fillId="0" borderId="0" xfId="0" applyFont="1" applyAlignment="1">
      <alignment horizontal="right"/>
    </xf>
    <xf numFmtId="0" fontId="73" fillId="0" borderId="67" xfId="0" applyFont="1" applyBorder="1"/>
    <xf numFmtId="0" fontId="58" fillId="0" borderId="59" xfId="0" applyFont="1" applyBorder="1"/>
    <xf numFmtId="0" fontId="58" fillId="0" borderId="30" xfId="0" applyFont="1" applyBorder="1"/>
    <xf numFmtId="0" fontId="73" fillId="0" borderId="80" xfId="0" applyFont="1" applyBorder="1"/>
    <xf numFmtId="0" fontId="58" fillId="0" borderId="74" xfId="0" applyFont="1" applyBorder="1"/>
    <xf numFmtId="0" fontId="73" fillId="0" borderId="68" xfId="0" applyFont="1" applyBorder="1"/>
    <xf numFmtId="0" fontId="58" fillId="0" borderId="56" xfId="0" applyFont="1" applyBorder="1"/>
    <xf numFmtId="0" fontId="58" fillId="0" borderId="69" xfId="0" applyFont="1" applyBorder="1"/>
    <xf numFmtId="0" fontId="0" fillId="0" borderId="0" xfId="0" applyAlignment="1">
      <alignment horizontal="right"/>
    </xf>
    <xf numFmtId="0" fontId="73" fillId="0" borderId="70" xfId="0" applyFont="1" applyBorder="1"/>
    <xf numFmtId="0" fontId="0" fillId="0" borderId="61" xfId="0" applyBorder="1"/>
    <xf numFmtId="0" fontId="0" fillId="0" borderId="28" xfId="0" applyBorder="1"/>
    <xf numFmtId="0" fontId="7" fillId="6" borderId="1" xfId="0" applyFont="1" applyFill="1" applyBorder="1" applyAlignment="1">
      <alignment horizontal="left"/>
    </xf>
    <xf numFmtId="0" fontId="7" fillId="6" borderId="2" xfId="0" applyFont="1" applyFill="1" applyBorder="1" applyAlignment="1">
      <alignment horizontal="left"/>
    </xf>
    <xf numFmtId="0" fontId="7" fillId="6" borderId="3" xfId="0" applyFont="1" applyFill="1" applyBorder="1" applyAlignment="1">
      <alignment horizontal="left"/>
    </xf>
    <xf numFmtId="0" fontId="7" fillId="0" borderId="0" xfId="0" applyFont="1" applyAlignment="1">
      <alignment horizontal="left"/>
    </xf>
    <xf numFmtId="0" fontId="22" fillId="6" borderId="1" xfId="0" applyFont="1" applyFill="1" applyBorder="1" applyAlignment="1">
      <alignment horizontal="left"/>
    </xf>
    <xf numFmtId="0" fontId="0" fillId="0" borderId="29" xfId="0" applyBorder="1" applyAlignment="1">
      <alignment horizontal="center"/>
    </xf>
    <xf numFmtId="0" fontId="71" fillId="0" borderId="0" xfId="0" applyFont="1"/>
    <xf numFmtId="1" fontId="0" fillId="21" borderId="29" xfId="0" applyNumberFormat="1" applyFill="1" applyBorder="1" applyAlignment="1">
      <alignment horizontal="center"/>
    </xf>
    <xf numFmtId="0" fontId="21" fillId="0" borderId="0" xfId="0" applyFont="1"/>
    <xf numFmtId="171" fontId="0" fillId="21" borderId="29" xfId="0" applyNumberFormat="1" applyFill="1" applyBorder="1" applyAlignment="1">
      <alignment horizontal="center"/>
    </xf>
    <xf numFmtId="0" fontId="0" fillId="21" borderId="29" xfId="0" applyFill="1" applyBorder="1" applyAlignment="1">
      <alignment horizontal="center"/>
    </xf>
    <xf numFmtId="0" fontId="0" fillId="0" borderId="61" xfId="0" applyBorder="1" applyAlignment="1">
      <alignment horizontal="center"/>
    </xf>
    <xf numFmtId="0" fontId="0" fillId="0" borderId="28" xfId="0" applyBorder="1" applyAlignment="1">
      <alignment horizontal="center"/>
    </xf>
    <xf numFmtId="2" fontId="0" fillId="0" borderId="0" xfId="0" applyNumberFormat="1"/>
    <xf numFmtId="0" fontId="6" fillId="0" borderId="0" xfId="0" applyFont="1" applyAlignment="1">
      <alignment horizontal="left"/>
    </xf>
    <xf numFmtId="0" fontId="0" fillId="7" borderId="0" xfId="0" applyFill="1" applyAlignment="1">
      <alignment horizontal="center"/>
    </xf>
    <xf numFmtId="2" fontId="0" fillId="7" borderId="0" xfId="0" applyNumberFormat="1" applyFill="1" applyAlignment="1">
      <alignment horizontal="center"/>
    </xf>
    <xf numFmtId="0" fontId="57" fillId="0" borderId="0" xfId="0" applyFont="1"/>
    <xf numFmtId="0" fontId="60" fillId="0" borderId="0" xfId="0" applyFont="1"/>
    <xf numFmtId="0" fontId="0" fillId="7" borderId="0" xfId="0" applyFill="1"/>
    <xf numFmtId="1" fontId="6" fillId="33" borderId="2" xfId="0" applyNumberFormat="1" applyFont="1" applyFill="1" applyBorder="1" applyAlignment="1">
      <alignment horizontal="center"/>
    </xf>
    <xf numFmtId="1" fontId="21" fillId="33" borderId="2" xfId="0" applyNumberFormat="1" applyFont="1" applyFill="1" applyBorder="1" applyAlignment="1">
      <alignment horizontal="center"/>
    </xf>
    <xf numFmtId="1" fontId="6" fillId="33" borderId="3" xfId="0" applyNumberFormat="1" applyFont="1" applyFill="1" applyBorder="1" applyAlignment="1">
      <alignment horizontal="center"/>
    </xf>
    <xf numFmtId="1" fontId="0" fillId="12" borderId="0" xfId="0" applyNumberFormat="1" applyFill="1" applyAlignment="1">
      <alignment horizontal="center"/>
    </xf>
    <xf numFmtId="1" fontId="42" fillId="12" borderId="0" xfId="0" applyNumberFormat="1" applyFont="1" applyFill="1" applyAlignment="1">
      <alignment horizontal="center"/>
    </xf>
    <xf numFmtId="0" fontId="0" fillId="7" borderId="0" xfId="0" applyFill="1" applyAlignment="1">
      <alignment horizontal="left"/>
    </xf>
    <xf numFmtId="2" fontId="6" fillId="12" borderId="0" xfId="0" applyNumberFormat="1" applyFont="1" applyFill="1" applyAlignment="1">
      <alignment horizontal="center"/>
    </xf>
    <xf numFmtId="1" fontId="42" fillId="12" borderId="0" xfId="0" applyNumberFormat="1" applyFont="1" applyFill="1" applyAlignment="1">
      <alignment horizontal="left"/>
    </xf>
    <xf numFmtId="0" fontId="63" fillId="0" borderId="0" xfId="0" applyFont="1" applyAlignment="1">
      <alignment horizontal="left"/>
    </xf>
    <xf numFmtId="1" fontId="0" fillId="7" borderId="0" xfId="0" applyNumberFormat="1" applyFill="1" applyAlignment="1">
      <alignment horizontal="center"/>
    </xf>
    <xf numFmtId="1" fontId="42" fillId="7" borderId="0" xfId="0" applyNumberFormat="1" applyFont="1" applyFill="1" applyAlignment="1">
      <alignment horizontal="center"/>
    </xf>
    <xf numFmtId="1" fontId="84" fillId="7" borderId="0" xfId="0" applyNumberFormat="1" applyFont="1" applyFill="1" applyAlignment="1">
      <alignment horizontal="center"/>
    </xf>
    <xf numFmtId="1" fontId="62" fillId="6" borderId="1" xfId="0" applyNumberFormat="1" applyFont="1" applyFill="1" applyBorder="1" applyAlignment="1">
      <alignment horizontal="center"/>
    </xf>
    <xf numFmtId="1" fontId="62" fillId="6" borderId="2" xfId="0" applyNumberFormat="1" applyFont="1" applyFill="1" applyBorder="1" applyAlignment="1">
      <alignment horizontal="center"/>
    </xf>
    <xf numFmtId="1" fontId="62" fillId="6" borderId="3" xfId="0" applyNumberFormat="1" applyFont="1" applyFill="1" applyBorder="1" applyAlignment="1">
      <alignment horizontal="center"/>
    </xf>
    <xf numFmtId="0" fontId="6" fillId="13" borderId="61" xfId="0" applyFont="1" applyFill="1" applyBorder="1"/>
    <xf numFmtId="0" fontId="0" fillId="13" borderId="61" xfId="0" applyFill="1" applyBorder="1"/>
    <xf numFmtId="0" fontId="0" fillId="13" borderId="28" xfId="0" applyFill="1" applyBorder="1"/>
    <xf numFmtId="0" fontId="0" fillId="13" borderId="80" xfId="0" applyFill="1" applyBorder="1"/>
    <xf numFmtId="0" fontId="0" fillId="13" borderId="74" xfId="0" applyFill="1" applyBorder="1"/>
    <xf numFmtId="0" fontId="0" fillId="13" borderId="68" xfId="0" applyFill="1" applyBorder="1"/>
    <xf numFmtId="0" fontId="0" fillId="13" borderId="56" xfId="0" applyFill="1" applyBorder="1"/>
    <xf numFmtId="0" fontId="0" fillId="13" borderId="69" xfId="0" applyFill="1" applyBorder="1"/>
    <xf numFmtId="1" fontId="6" fillId="7" borderId="0" xfId="0" applyNumberFormat="1" applyFont="1" applyFill="1" applyAlignment="1">
      <alignment horizontal="center"/>
    </xf>
    <xf numFmtId="165" fontId="0" fillId="7" borderId="0" xfId="0" applyNumberFormat="1" applyFill="1" applyAlignment="1">
      <alignment horizontal="center"/>
    </xf>
    <xf numFmtId="1" fontId="20" fillId="7" borderId="0" xfId="0" applyNumberFormat="1" applyFont="1" applyFill="1" applyAlignment="1">
      <alignment horizontal="left"/>
    </xf>
    <xf numFmtId="2" fontId="0" fillId="0" borderId="0" xfId="0" applyNumberFormat="1" applyAlignment="1">
      <alignment horizontal="center"/>
    </xf>
    <xf numFmtId="164" fontId="0" fillId="0" borderId="0" xfId="0" applyNumberFormat="1" applyAlignment="1">
      <alignment horizontal="center"/>
    </xf>
    <xf numFmtId="0" fontId="0" fillId="0" borderId="80" xfId="0" applyBorder="1" applyAlignment="1">
      <alignment horizontal="left"/>
    </xf>
    <xf numFmtId="1" fontId="0" fillId="0" borderId="74" xfId="0" applyNumberFormat="1" applyBorder="1" applyAlignment="1">
      <alignment horizontal="center"/>
    </xf>
    <xf numFmtId="0" fontId="0" fillId="0" borderId="80" xfId="0" applyBorder="1"/>
    <xf numFmtId="0" fontId="0" fillId="3" borderId="17" xfId="0" applyFill="1" applyBorder="1" applyAlignment="1">
      <alignment horizontal="center"/>
    </xf>
    <xf numFmtId="2" fontId="0" fillId="0" borderId="74" xfId="0" applyNumberFormat="1" applyBorder="1" applyAlignment="1">
      <alignment horizontal="center"/>
    </xf>
    <xf numFmtId="0" fontId="0" fillId="0" borderId="75" xfId="0" applyBorder="1" applyAlignment="1">
      <alignment horizontal="center"/>
    </xf>
    <xf numFmtId="2" fontId="0" fillId="0" borderId="77" xfId="0" applyNumberFormat="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2" fontId="20" fillId="0" borderId="0" xfId="0" applyNumberFormat="1" applyFont="1" applyAlignment="1">
      <alignment horizontal="center"/>
    </xf>
    <xf numFmtId="2" fontId="20" fillId="0" borderId="74" xfId="0" applyNumberFormat="1" applyFont="1" applyBorder="1" applyAlignment="1">
      <alignment horizontal="center"/>
    </xf>
    <xf numFmtId="2" fontId="55" fillId="0" borderId="0" xfId="0" applyNumberFormat="1" applyFont="1"/>
    <xf numFmtId="165" fontId="0" fillId="0" borderId="0" xfId="0" applyNumberFormat="1" applyAlignment="1">
      <alignment horizontal="center"/>
    </xf>
    <xf numFmtId="165" fontId="0" fillId="0" borderId="74" xfId="0" applyNumberFormat="1" applyBorder="1" applyAlignment="1">
      <alignment horizontal="center"/>
    </xf>
    <xf numFmtId="165" fontId="20" fillId="0" borderId="0" xfId="0" applyNumberFormat="1" applyFont="1" applyAlignment="1">
      <alignment horizontal="center"/>
    </xf>
    <xf numFmtId="165" fontId="20" fillId="0" borderId="74" xfId="0" applyNumberFormat="1" applyFont="1" applyBorder="1" applyAlignment="1">
      <alignment horizontal="center"/>
    </xf>
    <xf numFmtId="0" fontId="0" fillId="0" borderId="68" xfId="0" applyBorder="1"/>
    <xf numFmtId="0" fontId="0" fillId="0" borderId="56" xfId="0" applyBorder="1"/>
    <xf numFmtId="0" fontId="0" fillId="0" borderId="56" xfId="0" applyBorder="1" applyAlignment="1">
      <alignment horizontal="center"/>
    </xf>
    <xf numFmtId="0" fontId="0" fillId="0" borderId="69" xfId="0"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67" xfId="0" applyBorder="1"/>
    <xf numFmtId="0" fontId="0" fillId="0" borderId="59" xfId="0" applyBorder="1"/>
    <xf numFmtId="165" fontId="15" fillId="12" borderId="59" xfId="0" applyNumberFormat="1" applyFont="1" applyFill="1" applyBorder="1" applyAlignment="1">
      <alignment horizontal="center"/>
    </xf>
    <xf numFmtId="0" fontId="0" fillId="0" borderId="30" xfId="0" applyBorder="1"/>
    <xf numFmtId="170" fontId="0" fillId="0" borderId="0" xfId="0" applyNumberFormat="1"/>
    <xf numFmtId="0" fontId="7" fillId="12" borderId="0" xfId="0" applyFont="1" applyFill="1" applyAlignment="1">
      <alignment horizontal="center"/>
    </xf>
    <xf numFmtId="0" fontId="0" fillId="0" borderId="74" xfId="0" applyBorder="1"/>
    <xf numFmtId="2" fontId="15" fillId="6" borderId="56" xfId="0" applyNumberFormat="1" applyFont="1" applyFill="1" applyBorder="1" applyAlignment="1">
      <alignment horizontal="center"/>
    </xf>
    <xf numFmtId="0" fontId="0" fillId="0" borderId="69" xfId="0" applyBorder="1"/>
    <xf numFmtId="1" fontId="0" fillId="0" borderId="67" xfId="0" applyNumberFormat="1" applyBorder="1" applyAlignment="1">
      <alignment horizontal="center"/>
    </xf>
    <xf numFmtId="1" fontId="0" fillId="0" borderId="59" xfId="0" applyNumberFormat="1" applyBorder="1" applyAlignment="1">
      <alignment horizontal="center"/>
    </xf>
    <xf numFmtId="1" fontId="0" fillId="0" borderId="30" xfId="0" applyNumberFormat="1" applyBorder="1" applyAlignment="1">
      <alignment horizontal="center"/>
    </xf>
    <xf numFmtId="165" fontId="0" fillId="12" borderId="80" xfId="0" applyNumberFormat="1" applyFill="1" applyBorder="1" applyAlignment="1">
      <alignment horizontal="center"/>
    </xf>
    <xf numFmtId="165" fontId="0" fillId="12" borderId="0" xfId="0" applyNumberFormat="1" applyFill="1" applyAlignment="1">
      <alignment horizontal="center"/>
    </xf>
    <xf numFmtId="165" fontId="0" fillId="12" borderId="74" xfId="0" applyNumberFormat="1" applyFill="1" applyBorder="1" applyAlignment="1">
      <alignment horizontal="center"/>
    </xf>
    <xf numFmtId="165" fontId="0" fillId="0" borderId="80" xfId="0" applyNumberFormat="1" applyBorder="1" applyAlignment="1">
      <alignment horizontal="center"/>
    </xf>
    <xf numFmtId="1" fontId="0" fillId="0" borderId="80" xfId="0" applyNumberFormat="1" applyBorder="1" applyAlignment="1">
      <alignment horizontal="center"/>
    </xf>
    <xf numFmtId="165" fontId="20" fillId="0" borderId="80" xfId="0" applyNumberFormat="1" applyFont="1" applyBorder="1" applyAlignment="1">
      <alignment horizontal="center"/>
    </xf>
    <xf numFmtId="165" fontId="21" fillId="0" borderId="74" xfId="0" applyNumberFormat="1" applyFont="1" applyBorder="1" applyAlignment="1">
      <alignment horizontal="center"/>
    </xf>
    <xf numFmtId="165" fontId="21" fillId="0" borderId="80" xfId="0" applyNumberFormat="1" applyFont="1" applyBorder="1" applyAlignment="1">
      <alignment horizontal="center"/>
    </xf>
    <xf numFmtId="165" fontId="21" fillId="0" borderId="0" xfId="0" applyNumberFormat="1" applyFont="1" applyAlignment="1">
      <alignment horizontal="center"/>
    </xf>
    <xf numFmtId="0" fontId="0" fillId="0" borderId="74" xfId="0" applyBorder="1" applyAlignment="1">
      <alignment horizontal="center"/>
    </xf>
    <xf numFmtId="2" fontId="0" fillId="0" borderId="80" xfId="0" applyNumberFormat="1" applyBorder="1" applyAlignment="1">
      <alignment horizontal="center"/>
    </xf>
    <xf numFmtId="2" fontId="0" fillId="12" borderId="68" xfId="0" applyNumberFormat="1" applyFill="1" applyBorder="1" applyAlignment="1">
      <alignment horizontal="center"/>
    </xf>
    <xf numFmtId="2" fontId="0" fillId="12" borderId="56" xfId="0" applyNumberFormat="1" applyFill="1" applyBorder="1" applyAlignment="1">
      <alignment horizontal="center"/>
    </xf>
    <xf numFmtId="2" fontId="0" fillId="12" borderId="69" xfId="0" applyNumberFormat="1" applyFill="1" applyBorder="1" applyAlignment="1">
      <alignment horizontal="center"/>
    </xf>
    <xf numFmtId="0" fontId="0" fillId="0" borderId="70" xfId="0" applyBorder="1"/>
    <xf numFmtId="2" fontId="6" fillId="0" borderId="61" xfId="0" applyNumberFormat="1" applyFont="1" applyBorder="1" applyAlignment="1">
      <alignment horizontal="center"/>
    </xf>
    <xf numFmtId="2" fontId="0" fillId="0" borderId="28" xfId="0" applyNumberFormat="1" applyBorder="1" applyAlignment="1">
      <alignment horizontal="center"/>
    </xf>
    <xf numFmtId="0" fontId="23" fillId="0" borderId="0" xfId="0" applyFont="1" applyAlignment="1">
      <alignment horizontal="center"/>
    </xf>
    <xf numFmtId="0" fontId="6" fillId="6" borderId="29" xfId="0" applyFont="1" applyFill="1" applyBorder="1" applyAlignment="1">
      <alignment horizontal="center"/>
    </xf>
    <xf numFmtId="0" fontId="7" fillId="0" borderId="0" xfId="0" applyFont="1"/>
    <xf numFmtId="0" fontId="6" fillId="8" borderId="29" xfId="0" applyFont="1" applyFill="1" applyBorder="1"/>
    <xf numFmtId="0" fontId="0" fillId="8" borderId="29" xfId="0" applyFill="1" applyBorder="1"/>
    <xf numFmtId="0" fontId="0" fillId="0" borderId="29" xfId="0" applyBorder="1"/>
    <xf numFmtId="0" fontId="0" fillId="6" borderId="29" xfId="0" applyFill="1" applyBorder="1" applyAlignment="1">
      <alignment horizontal="center"/>
    </xf>
    <xf numFmtId="0" fontId="20" fillId="0" borderId="0" xfId="0" applyFont="1" applyAlignment="1">
      <alignment horizontal="center"/>
    </xf>
    <xf numFmtId="0" fontId="6" fillId="8" borderId="16" xfId="0" applyFont="1" applyFill="1" applyBorder="1" applyAlignment="1">
      <alignment horizontal="center"/>
    </xf>
    <xf numFmtId="0" fontId="6" fillId="8" borderId="70" xfId="0" applyFont="1" applyFill="1" applyBorder="1"/>
    <xf numFmtId="0" fontId="15" fillId="13" borderId="18" xfId="0" applyFont="1" applyFill="1" applyBorder="1" applyAlignment="1">
      <alignment horizontal="center"/>
    </xf>
    <xf numFmtId="0" fontId="15" fillId="13" borderId="19" xfId="0" applyFont="1" applyFill="1" applyBorder="1" applyAlignment="1">
      <alignment horizontal="center"/>
    </xf>
    <xf numFmtId="0" fontId="15" fillId="13" borderId="20" xfId="0" applyFont="1" applyFill="1" applyBorder="1" applyAlignment="1">
      <alignment horizontal="center"/>
    </xf>
    <xf numFmtId="0" fontId="15" fillId="19" borderId="18" xfId="0" applyFont="1" applyFill="1" applyBorder="1" applyAlignment="1">
      <alignment horizontal="center"/>
    </xf>
    <xf numFmtId="0" fontId="15" fillId="19" borderId="19" xfId="0" applyFont="1" applyFill="1" applyBorder="1" applyAlignment="1">
      <alignment horizontal="center"/>
    </xf>
    <xf numFmtId="0" fontId="15" fillId="19" borderId="20" xfId="0" applyFont="1" applyFill="1" applyBorder="1" applyAlignment="1">
      <alignment horizontal="center"/>
    </xf>
    <xf numFmtId="0" fontId="0" fillId="6" borderId="75" xfId="0" applyFill="1" applyBorder="1" applyAlignment="1">
      <alignment horizontal="center"/>
    </xf>
    <xf numFmtId="0" fontId="0" fillId="6" borderId="76" xfId="0" applyFill="1" applyBorder="1" applyAlignment="1">
      <alignment horizontal="center"/>
    </xf>
    <xf numFmtId="1" fontId="0" fillId="6" borderId="76" xfId="0" applyNumberFormat="1" applyFill="1" applyBorder="1" applyAlignment="1">
      <alignment horizontal="center"/>
    </xf>
    <xf numFmtId="0" fontId="0" fillId="6" borderId="77" xfId="0" applyFill="1" applyBorder="1" applyAlignment="1">
      <alignment horizontal="center"/>
    </xf>
    <xf numFmtId="1" fontId="0" fillId="0" borderId="78" xfId="0" applyNumberFormat="1" applyBorder="1" applyAlignment="1">
      <alignment horizontal="center"/>
    </xf>
    <xf numFmtId="1" fontId="0" fillId="0" borderId="46" xfId="0" applyNumberFormat="1" applyBorder="1" applyAlignment="1">
      <alignment horizontal="center"/>
    </xf>
    <xf numFmtId="1" fontId="0" fillId="0" borderId="79" xfId="0" applyNumberFormat="1" applyBorder="1" applyAlignment="1">
      <alignment horizontal="center"/>
    </xf>
    <xf numFmtId="0" fontId="6" fillId="8" borderId="29" xfId="0" applyFont="1" applyFill="1" applyBorder="1" applyAlignment="1">
      <alignment horizontal="center"/>
    </xf>
    <xf numFmtId="1" fontId="0" fillId="6" borderId="29" xfId="0" applyNumberFormat="1" applyFill="1" applyBorder="1" applyAlignment="1">
      <alignment horizontal="center"/>
    </xf>
    <xf numFmtId="1" fontId="0" fillId="0" borderId="29" xfId="0" applyNumberFormat="1" applyBorder="1" applyAlignment="1">
      <alignment horizontal="center"/>
    </xf>
    <xf numFmtId="1" fontId="20" fillId="0" borderId="29" xfId="0" applyNumberFormat="1" applyFont="1" applyBorder="1" applyAlignment="1">
      <alignment horizontal="center"/>
    </xf>
    <xf numFmtId="2" fontId="0" fillId="0" borderId="29" xfId="0" applyNumberFormat="1" applyBorder="1" applyAlignment="1">
      <alignment horizontal="center"/>
    </xf>
    <xf numFmtId="2" fontId="0" fillId="6" borderId="29" xfId="0" applyNumberFormat="1" applyFill="1" applyBorder="1" applyAlignment="1">
      <alignment horizontal="center"/>
    </xf>
    <xf numFmtId="164" fontId="0" fillId="0" borderId="29" xfId="0" applyNumberFormat="1" applyBorder="1" applyAlignment="1">
      <alignment horizontal="center"/>
    </xf>
    <xf numFmtId="2" fontId="0" fillId="6" borderId="16" xfId="0" applyNumberFormat="1" applyFill="1" applyBorder="1" applyAlignment="1">
      <alignment horizontal="center"/>
    </xf>
    <xf numFmtId="167" fontId="0" fillId="6" borderId="16" xfId="0" applyNumberFormat="1" applyFill="1" applyBorder="1" applyAlignment="1">
      <alignment horizontal="center"/>
    </xf>
    <xf numFmtId="1" fontId="0" fillId="6" borderId="16" xfId="0" applyNumberFormat="1" applyFill="1" applyBorder="1" applyAlignment="1">
      <alignment horizontal="center"/>
    </xf>
    <xf numFmtId="164" fontId="43" fillId="0" borderId="29" xfId="0" applyNumberFormat="1" applyFont="1" applyBorder="1" applyAlignment="1">
      <alignment horizontal="center"/>
    </xf>
    <xf numFmtId="1" fontId="43" fillId="0" borderId="29" xfId="0" applyNumberFormat="1" applyFont="1" applyBorder="1" applyAlignment="1">
      <alignment horizontal="center"/>
    </xf>
    <xf numFmtId="165" fontId="43" fillId="0" borderId="29" xfId="0" applyNumberFormat="1" applyFont="1" applyBorder="1" applyAlignment="1">
      <alignment horizontal="center"/>
    </xf>
    <xf numFmtId="165" fontId="0" fillId="0" borderId="61" xfId="0" applyNumberFormat="1" applyBorder="1" applyAlignment="1">
      <alignment horizontal="center"/>
    </xf>
    <xf numFmtId="1" fontId="6" fillId="0" borderId="0" xfId="0" applyNumberFormat="1" applyFont="1"/>
    <xf numFmtId="165" fontId="0" fillId="0" borderId="0" xfId="0" applyNumberFormat="1"/>
    <xf numFmtId="164" fontId="0" fillId="0" borderId="0" xfId="0" applyNumberFormat="1"/>
    <xf numFmtId="0" fontId="9" fillId="3" borderId="33" xfId="0" applyFont="1" applyFill="1" applyBorder="1" applyAlignment="1" applyProtection="1">
      <alignment horizontal="center"/>
      <protection locked="0"/>
    </xf>
    <xf numFmtId="0" fontId="9" fillId="3" borderId="29" xfId="0" applyFont="1" applyFill="1" applyBorder="1" applyAlignment="1" applyProtection="1">
      <alignment horizontal="center"/>
      <protection locked="0"/>
    </xf>
    <xf numFmtId="0" fontId="9" fillId="3" borderId="34" xfId="0" applyFont="1" applyFill="1" applyBorder="1" applyAlignment="1" applyProtection="1">
      <alignment horizontal="center"/>
      <protection locked="0"/>
    </xf>
    <xf numFmtId="0" fontId="6" fillId="6" borderId="29" xfId="0" applyFont="1" applyFill="1" applyBorder="1"/>
    <xf numFmtId="0" fontId="0" fillId="6" borderId="29" xfId="0" applyFill="1" applyBorder="1"/>
    <xf numFmtId="164" fontId="6" fillId="0" borderId="0" xfId="0" applyNumberFormat="1" applyFont="1"/>
    <xf numFmtId="0" fontId="0" fillId="0" borderId="17" xfId="0" applyBorder="1"/>
    <xf numFmtId="0" fontId="0" fillId="8" borderId="29" xfId="0" applyFill="1" applyBorder="1" applyAlignment="1">
      <alignment horizontal="center"/>
    </xf>
    <xf numFmtId="0" fontId="0" fillId="12" borderId="29" xfId="0" applyFill="1" applyBorder="1" applyAlignment="1">
      <alignment horizontal="center"/>
    </xf>
    <xf numFmtId="1" fontId="6" fillId="12" borderId="29" xfId="0" applyNumberFormat="1" applyFont="1" applyFill="1" applyBorder="1" applyAlignment="1">
      <alignment horizontal="center"/>
    </xf>
    <xf numFmtId="0" fontId="6" fillId="6" borderId="29" xfId="0" applyFont="1" applyFill="1" applyBorder="1" applyAlignment="1">
      <alignment horizontal="left"/>
    </xf>
    <xf numFmtId="1" fontId="6" fillId="6" borderId="29" xfId="0" applyNumberFormat="1" applyFont="1" applyFill="1" applyBorder="1" applyAlignment="1">
      <alignment horizontal="center"/>
    </xf>
    <xf numFmtId="166" fontId="6" fillId="0" borderId="0" xfId="1" applyNumberFormat="1" applyFont="1" applyBorder="1" applyProtection="1"/>
    <xf numFmtId="165" fontId="0" fillId="0" borderId="29" xfId="0" applyNumberFormat="1" applyBorder="1" applyAlignment="1">
      <alignment horizontal="center"/>
    </xf>
    <xf numFmtId="0" fontId="26" fillId="0" borderId="29" xfId="0" applyFont="1" applyBorder="1"/>
    <xf numFmtId="0" fontId="0" fillId="0" borderId="73" xfId="0" applyBorder="1"/>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5" fillId="6" borderId="2" xfId="0" applyFont="1" applyFill="1" applyBorder="1" applyAlignment="1">
      <alignment horizontal="center"/>
    </xf>
    <xf numFmtId="0" fontId="15" fillId="6" borderId="3" xfId="0" applyFont="1" applyFill="1" applyBorder="1" applyAlignment="1">
      <alignment horizontal="center"/>
    </xf>
    <xf numFmtId="0" fontId="0" fillId="6" borderId="0" xfId="0" applyFill="1"/>
    <xf numFmtId="0" fontId="15" fillId="0" borderId="1"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6" fillId="6" borderId="80" xfId="0" applyFont="1" applyFill="1" applyBorder="1"/>
    <xf numFmtId="0" fontId="6" fillId="0" borderId="7" xfId="0" applyFont="1" applyBorder="1" applyAlignment="1">
      <alignment horizontal="center"/>
    </xf>
    <xf numFmtId="0" fontId="6" fillId="0" borderId="8" xfId="0" applyFont="1" applyBorder="1" applyAlignment="1">
      <alignment horizontal="center"/>
    </xf>
    <xf numFmtId="0" fontId="15" fillId="0" borderId="0" xfId="0" applyFont="1" applyAlignment="1">
      <alignment horizontal="right"/>
    </xf>
    <xf numFmtId="0" fontId="8" fillId="0" borderId="29" xfId="0" applyFont="1" applyBorder="1" applyAlignment="1">
      <alignment horizontal="center"/>
    </xf>
    <xf numFmtId="0" fontId="21" fillId="0" borderId="29" xfId="0" applyFont="1" applyBorder="1" applyAlignment="1">
      <alignment horizontal="center"/>
    </xf>
    <xf numFmtId="0" fontId="6" fillId="8" borderId="70" xfId="0" applyFont="1" applyFill="1" applyBorder="1" applyAlignment="1">
      <alignment horizontal="left"/>
    </xf>
    <xf numFmtId="1" fontId="6" fillId="8" borderId="33" xfId="0" applyNumberFormat="1" applyFont="1" applyFill="1" applyBorder="1" applyAlignment="1">
      <alignment horizontal="center"/>
    </xf>
    <xf numFmtId="1" fontId="6" fillId="8" borderId="29" xfId="0" applyNumberFormat="1" applyFont="1" applyFill="1" applyBorder="1" applyAlignment="1">
      <alignment horizontal="center"/>
    </xf>
    <xf numFmtId="1" fontId="6" fillId="8" borderId="34" xfId="0" applyNumberFormat="1" applyFont="1" applyFill="1" applyBorder="1" applyAlignment="1">
      <alignment horizontal="center"/>
    </xf>
    <xf numFmtId="1" fontId="0" fillId="17" borderId="33" xfId="0" applyNumberFormat="1" applyFill="1" applyBorder="1" applyAlignment="1">
      <alignment horizontal="center"/>
    </xf>
    <xf numFmtId="1" fontId="0" fillId="17" borderId="29" xfId="0" applyNumberFormat="1" applyFill="1" applyBorder="1" applyAlignment="1">
      <alignment horizontal="center"/>
    </xf>
    <xf numFmtId="1" fontId="0" fillId="17" borderId="34" xfId="0" applyNumberFormat="1" applyFill="1" applyBorder="1" applyAlignment="1">
      <alignment horizontal="center"/>
    </xf>
    <xf numFmtId="1" fontId="0" fillId="0" borderId="33" xfId="0" applyNumberFormat="1" applyBorder="1" applyAlignment="1">
      <alignment horizontal="center"/>
    </xf>
    <xf numFmtId="1" fontId="0" fillId="0" borderId="34" xfId="0" applyNumberFormat="1" applyBorder="1" applyAlignment="1">
      <alignment horizontal="center"/>
    </xf>
    <xf numFmtId="1" fontId="0" fillId="13" borderId="33" xfId="0" applyNumberFormat="1" applyFill="1" applyBorder="1" applyAlignment="1">
      <alignment horizontal="center"/>
    </xf>
    <xf numFmtId="1" fontId="0" fillId="13" borderId="29" xfId="0" applyNumberFormat="1" applyFill="1" applyBorder="1" applyAlignment="1">
      <alignment horizontal="center"/>
    </xf>
    <xf numFmtId="1" fontId="0" fillId="13" borderId="34" xfId="0" applyNumberFormat="1" applyFill="1" applyBorder="1" applyAlignment="1">
      <alignment horizontal="center"/>
    </xf>
    <xf numFmtId="1" fontId="0" fillId="0" borderId="25" xfId="0" applyNumberFormat="1" applyBorder="1" applyAlignment="1">
      <alignment horizontal="center"/>
    </xf>
    <xf numFmtId="164" fontId="0" fillId="0" borderId="62" xfId="0" applyNumberFormat="1" applyBorder="1" applyAlignment="1">
      <alignment horizontal="center"/>
    </xf>
    <xf numFmtId="164" fontId="0" fillId="0" borderId="25" xfId="0" applyNumberFormat="1" applyBorder="1" applyAlignment="1">
      <alignment horizontal="center"/>
    </xf>
    <xf numFmtId="166" fontId="0" fillId="0" borderId="33" xfId="1" applyNumberFormat="1" applyFont="1" applyBorder="1" applyAlignment="1" applyProtection="1">
      <alignment horizontal="center"/>
    </xf>
    <xf numFmtId="166" fontId="0" fillId="0" borderId="29" xfId="1" applyNumberFormat="1" applyFont="1" applyBorder="1" applyAlignment="1" applyProtection="1">
      <alignment horizontal="center"/>
    </xf>
    <xf numFmtId="166" fontId="0" fillId="0" borderId="34" xfId="1" applyNumberFormat="1" applyFont="1" applyBorder="1" applyAlignment="1" applyProtection="1">
      <alignment horizontal="center"/>
    </xf>
    <xf numFmtId="2" fontId="0" fillId="0" borderId="62" xfId="0" applyNumberFormat="1" applyBorder="1" applyAlignment="1">
      <alignment horizontal="center"/>
    </xf>
    <xf numFmtId="2" fontId="0" fillId="0" borderId="25" xfId="0" applyNumberFormat="1" applyBorder="1" applyAlignment="1">
      <alignment horizontal="center"/>
    </xf>
    <xf numFmtId="2" fontId="0" fillId="0" borderId="33" xfId="0" applyNumberFormat="1" applyBorder="1" applyAlignment="1">
      <alignment horizontal="center"/>
    </xf>
    <xf numFmtId="2" fontId="0" fillId="0" borderId="34" xfId="0" applyNumberForma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165" fontId="0" fillId="0" borderId="78" xfId="0" applyNumberFormat="1" applyBorder="1" applyAlignment="1">
      <alignment horizontal="center"/>
    </xf>
    <xf numFmtId="165" fontId="0" fillId="0" borderId="46" xfId="0" applyNumberFormat="1" applyBorder="1" applyAlignment="1">
      <alignment horizontal="center"/>
    </xf>
    <xf numFmtId="165" fontId="0" fillId="0" borderId="79" xfId="0" applyNumberFormat="1" applyBorder="1" applyAlignment="1">
      <alignment horizontal="center"/>
    </xf>
    <xf numFmtId="0" fontId="26" fillId="0" borderId="70" xfId="0" applyFont="1" applyBorder="1"/>
    <xf numFmtId="0" fontId="0" fillId="0" borderId="1" xfId="0" applyBorder="1"/>
    <xf numFmtId="0" fontId="38" fillId="6" borderId="12" xfId="0" applyFont="1" applyFill="1" applyBorder="1" applyAlignment="1">
      <alignment horizontal="center" vertical="center"/>
    </xf>
    <xf numFmtId="165" fontId="38" fillId="6" borderId="12" xfId="0" applyNumberFormat="1" applyFont="1" applyFill="1" applyBorder="1" applyAlignment="1">
      <alignment horizontal="center" vertical="center"/>
    </xf>
    <xf numFmtId="0" fontId="0" fillId="0" borderId="12" xfId="0" applyBorder="1"/>
    <xf numFmtId="0" fontId="38" fillId="6" borderId="12" xfId="0" applyFont="1" applyFill="1" applyBorder="1" applyAlignment="1">
      <alignment horizontal="center"/>
    </xf>
    <xf numFmtId="0" fontId="15" fillId="0" borderId="12" xfId="0" applyFont="1" applyBorder="1" applyAlignment="1">
      <alignment horizontal="center"/>
    </xf>
    <xf numFmtId="0" fontId="0" fillId="6" borderId="4" xfId="0" applyFill="1" applyBorder="1"/>
    <xf numFmtId="1" fontId="0" fillId="6" borderId="13" xfId="0" applyNumberFormat="1" applyFill="1" applyBorder="1" applyAlignment="1">
      <alignment horizontal="center"/>
    </xf>
    <xf numFmtId="0" fontId="0" fillId="6" borderId="7" xfId="0" applyFill="1" applyBorder="1"/>
    <xf numFmtId="1" fontId="0" fillId="6" borderId="14" xfId="0" applyNumberFormat="1" applyFill="1" applyBorder="1" applyAlignment="1">
      <alignment horizontal="center"/>
    </xf>
    <xf numFmtId="0" fontId="6" fillId="0" borderId="0" xfId="0" applyFont="1" applyAlignment="1">
      <alignment horizontal="right"/>
    </xf>
    <xf numFmtId="0" fontId="21" fillId="6" borderId="18" xfId="0" applyFont="1" applyFill="1" applyBorder="1" applyAlignment="1">
      <alignment horizontal="center"/>
    </xf>
    <xf numFmtId="0" fontId="21" fillId="6" borderId="12" xfId="0" applyFont="1" applyFill="1" applyBorder="1" applyAlignment="1">
      <alignment horizontal="center"/>
    </xf>
    <xf numFmtId="1" fontId="0" fillId="0" borderId="12" xfId="0" applyNumberFormat="1" applyBorder="1" applyAlignment="1">
      <alignment horizontal="center"/>
    </xf>
    <xf numFmtId="0" fontId="0" fillId="0" borderId="4" xfId="0" quotePrefix="1" applyBorder="1" applyAlignment="1">
      <alignment vertical="center"/>
    </xf>
    <xf numFmtId="1" fontId="0" fillId="0" borderId="13" xfId="0" applyNumberFormat="1" applyBorder="1" applyAlignment="1">
      <alignment horizontal="center" vertical="center"/>
    </xf>
    <xf numFmtId="0" fontId="0" fillId="0" borderId="9" xfId="0" quotePrefix="1" applyBorder="1"/>
    <xf numFmtId="1" fontId="0" fillId="0" borderId="15" xfId="0" applyNumberFormat="1" applyBorder="1" applyAlignment="1">
      <alignment horizontal="center"/>
    </xf>
    <xf numFmtId="1" fontId="0" fillId="0" borderId="14" xfId="0" applyNumberFormat="1" applyBorder="1" applyAlignment="1">
      <alignment horizontal="center"/>
    </xf>
    <xf numFmtId="166" fontId="6" fillId="0" borderId="0" xfId="1" applyNumberFormat="1" applyFont="1" applyProtection="1"/>
    <xf numFmtId="2" fontId="26" fillId="0" borderId="0" xfId="0" applyNumberFormat="1" applyFont="1"/>
    <xf numFmtId="0" fontId="34" fillId="0" borderId="0" xfId="0" applyFont="1"/>
    <xf numFmtId="0" fontId="0" fillId="0" borderId="13" xfId="0" applyBorder="1"/>
    <xf numFmtId="0" fontId="0" fillId="0" borderId="5" xfId="0" applyBorder="1"/>
    <xf numFmtId="1" fontId="0" fillId="0" borderId="13" xfId="0" applyNumberFormat="1" applyBorder="1" applyAlignment="1">
      <alignment horizontal="center"/>
    </xf>
    <xf numFmtId="0" fontId="15" fillId="22" borderId="12" xfId="0" applyFont="1" applyFill="1" applyBorder="1" applyAlignment="1">
      <alignment horizontal="center"/>
    </xf>
    <xf numFmtId="0" fontId="0" fillId="6" borderId="12" xfId="0" applyFill="1" applyBorder="1"/>
    <xf numFmtId="1" fontId="0" fillId="6" borderId="12" xfId="0" applyNumberFormat="1" applyFill="1" applyBorder="1" applyAlignment="1">
      <alignment horizontal="center"/>
    </xf>
    <xf numFmtId="0" fontId="23" fillId="0" borderId="12" xfId="0" applyFont="1" applyBorder="1" applyAlignment="1">
      <alignment horizontal="center"/>
    </xf>
    <xf numFmtId="1" fontId="10" fillId="22" borderId="12" xfId="0" applyNumberFormat="1" applyFont="1" applyFill="1" applyBorder="1" applyAlignment="1">
      <alignment horizontal="center"/>
    </xf>
    <xf numFmtId="1" fontId="6" fillId="0" borderId="4" xfId="0" applyNumberFormat="1" applyFont="1" applyBorder="1" applyAlignment="1">
      <alignment horizontal="center"/>
    </xf>
    <xf numFmtId="1" fontId="22" fillId="0" borderId="12" xfId="0" applyNumberFormat="1" applyFont="1" applyBorder="1" applyAlignment="1">
      <alignment horizontal="center"/>
    </xf>
    <xf numFmtId="1" fontId="23" fillId="0" borderId="3" xfId="0" applyNumberFormat="1" applyFont="1" applyBorder="1" applyAlignment="1">
      <alignment horizontal="center"/>
    </xf>
    <xf numFmtId="2" fontId="18" fillId="0" borderId="14" xfId="0" applyNumberFormat="1" applyFont="1" applyBorder="1" applyAlignment="1">
      <alignment horizontal="center"/>
    </xf>
    <xf numFmtId="0" fontId="22" fillId="0" borderId="12" xfId="0" applyFont="1" applyBorder="1" applyAlignment="1">
      <alignment horizontal="center"/>
    </xf>
    <xf numFmtId="1" fontId="20" fillId="12" borderId="13" xfId="0" applyNumberFormat="1" applyFont="1" applyFill="1" applyBorder="1" applyAlignment="1">
      <alignment horizontal="center"/>
    </xf>
    <xf numFmtId="1" fontId="6" fillId="22" borderId="1" xfId="0" applyNumberFormat="1" applyFont="1" applyFill="1" applyBorder="1" applyAlignment="1">
      <alignment horizontal="center"/>
    </xf>
    <xf numFmtId="1" fontId="20" fillId="22" borderId="12" xfId="0" applyNumberFormat="1" applyFont="1" applyFill="1" applyBorder="1" applyAlignment="1">
      <alignment horizontal="center"/>
    </xf>
    <xf numFmtId="1" fontId="34" fillId="23" borderId="8" xfId="0" applyNumberFormat="1" applyFont="1" applyFill="1" applyBorder="1" applyAlignment="1">
      <alignment horizontal="center"/>
    </xf>
    <xf numFmtId="166" fontId="6" fillId="0" borderId="0" xfId="1" applyNumberFormat="1" applyFont="1" applyAlignment="1" applyProtection="1"/>
    <xf numFmtId="0" fontId="15" fillId="12" borderId="12" xfId="0" applyFont="1" applyFill="1" applyBorder="1" applyAlignment="1">
      <alignment horizontal="center"/>
    </xf>
    <xf numFmtId="0" fontId="6" fillId="0" borderId="12" xfId="0" applyFont="1" applyBorder="1" applyAlignment="1">
      <alignment horizontal="center"/>
    </xf>
    <xf numFmtId="1" fontId="6" fillId="12" borderId="12" xfId="0" applyNumberFormat="1" applyFont="1" applyFill="1" applyBorder="1" applyAlignment="1">
      <alignment horizontal="center"/>
    </xf>
    <xf numFmtId="1" fontId="0" fillId="2" borderId="0" xfId="0" applyNumberFormat="1" applyFill="1" applyAlignment="1">
      <alignment horizontal="center"/>
    </xf>
    <xf numFmtId="1" fontId="6" fillId="23" borderId="14" xfId="0" applyNumberFormat="1" applyFont="1" applyFill="1" applyBorder="1" applyAlignment="1">
      <alignment horizontal="center"/>
    </xf>
    <xf numFmtId="0" fontId="15" fillId="23" borderId="12" xfId="0" applyFont="1" applyFill="1" applyBorder="1" applyAlignment="1">
      <alignment horizontal="center"/>
    </xf>
    <xf numFmtId="2" fontId="18" fillId="0" borderId="0" xfId="0" applyNumberFormat="1" applyFont="1"/>
    <xf numFmtId="43" fontId="6" fillId="0" borderId="0" xfId="0" applyNumberFormat="1" applyFont="1"/>
    <xf numFmtId="1" fontId="34" fillId="12" borderId="7" xfId="0" applyNumberFormat="1" applyFont="1" applyFill="1" applyBorder="1" applyAlignment="1">
      <alignment horizontal="center"/>
    </xf>
    <xf numFmtId="1" fontId="20" fillId="4" borderId="12" xfId="0" applyNumberFormat="1" applyFont="1" applyFill="1" applyBorder="1" applyAlignment="1">
      <alignment horizontal="center"/>
    </xf>
    <xf numFmtId="1" fontId="6" fillId="4" borderId="2" xfId="0" applyNumberFormat="1" applyFont="1" applyFill="1" applyBorder="1" applyAlignment="1">
      <alignment horizontal="center"/>
    </xf>
    <xf numFmtId="1" fontId="20" fillId="23" borderId="12" xfId="0" applyNumberFormat="1" applyFont="1" applyFill="1" applyBorder="1" applyAlignment="1">
      <alignment horizontal="center"/>
    </xf>
    <xf numFmtId="1" fontId="22" fillId="0" borderId="14" xfId="0" applyNumberFormat="1" applyFont="1" applyBorder="1" applyAlignment="1">
      <alignment horizontal="center"/>
    </xf>
    <xf numFmtId="165" fontId="6" fillId="0" borderId="0" xfId="0" applyNumberFormat="1" applyFont="1"/>
    <xf numFmtId="0" fontId="23" fillId="0" borderId="12" xfId="0" applyFont="1" applyBorder="1" applyAlignment="1">
      <alignment horizontal="center" vertical="center"/>
    </xf>
    <xf numFmtId="1" fontId="22" fillId="0" borderId="12" xfId="0" applyNumberFormat="1" applyFont="1" applyBorder="1" applyAlignment="1">
      <alignment horizontal="center" vertical="center"/>
    </xf>
    <xf numFmtId="1" fontId="20" fillId="0" borderId="9" xfId="0" applyNumberFormat="1" applyFont="1" applyBorder="1" applyAlignment="1">
      <alignment horizontal="center" vertical="center"/>
    </xf>
    <xf numFmtId="1" fontId="10" fillId="4" borderId="12" xfId="0" applyNumberFormat="1" applyFont="1" applyFill="1" applyBorder="1" applyAlignment="1">
      <alignment horizontal="center" vertical="center"/>
    </xf>
    <xf numFmtId="1" fontId="23" fillId="0" borderId="3" xfId="0" applyNumberFormat="1" applyFont="1" applyBorder="1" applyAlignment="1">
      <alignment horizontal="center" vertical="center"/>
    </xf>
    <xf numFmtId="0" fontId="15" fillId="4" borderId="12" xfId="0" applyFont="1" applyFill="1" applyBorder="1" applyAlignment="1">
      <alignment horizontal="center"/>
    </xf>
    <xf numFmtId="0" fontId="0" fillId="6" borderId="13" xfId="0" applyFill="1" applyBorder="1"/>
    <xf numFmtId="1" fontId="6" fillId="6" borderId="13" xfId="0" applyNumberFormat="1" applyFont="1" applyFill="1" applyBorder="1" applyAlignment="1">
      <alignment horizontal="center"/>
    </xf>
    <xf numFmtId="1" fontId="15" fillId="0" borderId="13" xfId="0" applyNumberFormat="1" applyFont="1" applyBorder="1"/>
    <xf numFmtId="166" fontId="15" fillId="0" borderId="12" xfId="1" applyNumberFormat="1" applyFont="1" applyBorder="1" applyAlignment="1" applyProtection="1">
      <alignment horizontal="center"/>
    </xf>
    <xf numFmtId="0" fontId="41" fillId="0" borderId="0" xfId="0" applyFont="1"/>
    <xf numFmtId="0" fontId="0" fillId="0" borderId="3" xfId="0" applyBorder="1"/>
    <xf numFmtId="2" fontId="18" fillId="0" borderId="1" xfId="0" applyNumberFormat="1" applyFont="1" applyBorder="1" applyAlignment="1">
      <alignment horizontal="center"/>
    </xf>
    <xf numFmtId="2" fontId="19" fillId="0" borderId="2" xfId="0" applyNumberFormat="1" applyFont="1" applyBorder="1" applyAlignment="1">
      <alignment horizontal="center"/>
    </xf>
    <xf numFmtId="2" fontId="9" fillId="0" borderId="3" xfId="0" applyNumberFormat="1" applyFont="1" applyBorder="1" applyAlignment="1">
      <alignment horizontal="center"/>
    </xf>
    <xf numFmtId="2" fontId="15" fillId="0" borderId="14" xfId="0" applyNumberFormat="1" applyFont="1" applyBorder="1"/>
    <xf numFmtId="2" fontId="22" fillId="0" borderId="12" xfId="0" applyNumberFormat="1" applyFont="1" applyBorder="1" applyAlignment="1">
      <alignment horizontal="center"/>
    </xf>
    <xf numFmtId="165" fontId="6" fillId="0" borderId="10" xfId="0" applyNumberFormat="1" applyFont="1" applyBorder="1" applyAlignment="1">
      <alignment horizontal="center"/>
    </xf>
    <xf numFmtId="165" fontId="6" fillId="0" borderId="11" xfId="0" applyNumberFormat="1" applyFont="1" applyBorder="1" applyAlignment="1">
      <alignment horizontal="center"/>
    </xf>
    <xf numFmtId="0" fontId="15" fillId="0" borderId="15" xfId="0" applyFont="1" applyBorder="1"/>
    <xf numFmtId="165" fontId="15" fillId="0" borderId="11" xfId="0" applyNumberFormat="1" applyFont="1" applyBorder="1" applyAlignment="1">
      <alignment horizontal="center"/>
    </xf>
    <xf numFmtId="0" fontId="7" fillId="0" borderId="15" xfId="0" applyFont="1" applyBorder="1" applyAlignment="1">
      <alignment horizontal="center"/>
    </xf>
    <xf numFmtId="166" fontId="0" fillId="0" borderId="0" xfId="1" applyNumberFormat="1" applyFont="1" applyBorder="1" applyAlignment="1" applyProtection="1"/>
    <xf numFmtId="0" fontId="65" fillId="0" borderId="0" xfId="0" applyFont="1"/>
    <xf numFmtId="0" fontId="65" fillId="0" borderId="0" xfId="0" applyFont="1" applyAlignment="1">
      <alignment horizontal="center"/>
    </xf>
    <xf numFmtId="43" fontId="65" fillId="0" borderId="0" xfId="1" applyFont="1" applyBorder="1" applyAlignment="1" applyProtection="1">
      <alignment horizontal="center"/>
    </xf>
    <xf numFmtId="166" fontId="65" fillId="0" borderId="0" xfId="1" applyNumberFormat="1" applyFont="1" applyBorder="1" applyAlignment="1" applyProtection="1">
      <alignment horizontal="center"/>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9" xfId="0" applyBorder="1" applyAlignment="1">
      <alignment horizontal="center"/>
    </xf>
    <xf numFmtId="0" fontId="6" fillId="0" borderId="13" xfId="0" applyFont="1" applyBorder="1" applyAlignment="1">
      <alignment horizontal="center"/>
    </xf>
    <xf numFmtId="0" fontId="21" fillId="0" borderId="13" xfId="0" applyFont="1" applyBorder="1" applyAlignment="1">
      <alignment horizontal="center"/>
    </xf>
    <xf numFmtId="0" fontId="6" fillId="0" borderId="14" xfId="0" applyFont="1" applyBorder="1" applyAlignment="1">
      <alignment horizontal="center"/>
    </xf>
    <xf numFmtId="0" fontId="21" fillId="0" borderId="14" xfId="0" applyFont="1" applyBorder="1" applyAlignment="1">
      <alignment horizontal="center"/>
    </xf>
    <xf numFmtId="0" fontId="66" fillId="0" borderId="0" xfId="0" applyFont="1" applyAlignment="1">
      <alignment horizontal="left" vertical="center" wrapText="1" indent="1"/>
    </xf>
    <xf numFmtId="0" fontId="66" fillId="0" borderId="0" xfId="0" applyFont="1" applyAlignment="1">
      <alignment horizontal="left" vertical="center" wrapText="1" indent="2"/>
    </xf>
    <xf numFmtId="1" fontId="6" fillId="0" borderId="14" xfId="0" applyNumberFormat="1" applyFont="1" applyBorder="1" applyAlignment="1">
      <alignment horizontal="center"/>
    </xf>
    <xf numFmtId="1" fontId="21" fillId="0" borderId="14" xfId="0" applyNumberFormat="1" applyFont="1" applyBorder="1" applyAlignment="1">
      <alignment horizontal="center"/>
    </xf>
    <xf numFmtId="1" fontId="23" fillId="0" borderId="0" xfId="0" applyNumberFormat="1" applyFont="1" applyAlignment="1">
      <alignment horizontal="center"/>
    </xf>
    <xf numFmtId="0" fontId="68" fillId="0" borderId="0" xfId="3" applyAlignment="1" applyProtection="1">
      <alignment horizontal="left" vertical="center" wrapText="1" indent="1"/>
    </xf>
    <xf numFmtId="1" fontId="6" fillId="0" borderId="15" xfId="0" applyNumberFormat="1" applyFont="1" applyBorder="1" applyAlignment="1">
      <alignment horizontal="center"/>
    </xf>
    <xf numFmtId="1" fontId="21" fillId="0" borderId="15" xfId="0" applyNumberFormat="1" applyFont="1" applyBorder="1" applyAlignment="1">
      <alignment horizontal="center"/>
    </xf>
    <xf numFmtId="1" fontId="34" fillId="0" borderId="0" xfId="0" applyNumberFormat="1" applyFont="1" applyAlignment="1">
      <alignment horizontal="center"/>
    </xf>
    <xf numFmtId="0" fontId="7" fillId="0" borderId="2" xfId="0" applyFont="1" applyBorder="1" applyAlignment="1">
      <alignment horizontal="center"/>
    </xf>
    <xf numFmtId="0" fontId="0" fillId="0" borderId="4" xfId="0" applyBorder="1"/>
    <xf numFmtId="0" fontId="0" fillId="0" borderId="6" xfId="0" applyBorder="1"/>
    <xf numFmtId="0" fontId="22" fillId="6" borderId="1" xfId="0" applyFont="1" applyFill="1" applyBorder="1"/>
    <xf numFmtId="0" fontId="22" fillId="6" borderId="2" xfId="0" applyFont="1" applyFill="1" applyBorder="1"/>
    <xf numFmtId="0" fontId="21" fillId="6" borderId="3" xfId="0" applyFont="1" applyFill="1" applyBorder="1"/>
    <xf numFmtId="0" fontId="6" fillId="0" borderId="8" xfId="0" applyFont="1" applyBorder="1" applyAlignment="1">
      <alignment horizontal="right"/>
    </xf>
    <xf numFmtId="0" fontId="13" fillId="0" borderId="13" xfId="0" applyFont="1" applyBorder="1"/>
    <xf numFmtId="0" fontId="13" fillId="0" borderId="5" xfId="0" applyFont="1" applyBorder="1" applyAlignment="1">
      <alignment horizontal="center"/>
    </xf>
    <xf numFmtId="0" fontId="13" fillId="0" borderId="6" xfId="0" applyFont="1" applyBorder="1" applyAlignment="1">
      <alignment horizontal="center"/>
    </xf>
    <xf numFmtId="0" fontId="13" fillId="0" borderId="4" xfId="0" applyFont="1" applyBorder="1" applyAlignment="1">
      <alignment horizontal="center"/>
    </xf>
    <xf numFmtId="0" fontId="0" fillId="0" borderId="8" xfId="0" applyBorder="1"/>
    <xf numFmtId="0" fontId="22" fillId="6" borderId="14" xfId="0" applyFont="1" applyFill="1" applyBorder="1" applyAlignment="1">
      <alignment horizontal="center"/>
    </xf>
    <xf numFmtId="0" fontId="8" fillId="0" borderId="0" xfId="0" applyFont="1" applyAlignment="1">
      <alignment horizontal="center"/>
    </xf>
    <xf numFmtId="0" fontId="12" fillId="0" borderId="14" xfId="0" applyFont="1" applyBorder="1"/>
    <xf numFmtId="0" fontId="12" fillId="0" borderId="8" xfId="0" applyFont="1" applyBorder="1" applyAlignment="1">
      <alignment horizontal="center"/>
    </xf>
    <xf numFmtId="0" fontId="12" fillId="0" borderId="7" xfId="0" applyFont="1" applyBorder="1" applyAlignment="1">
      <alignment horizontal="center"/>
    </xf>
    <xf numFmtId="0" fontId="21" fillId="6" borderId="14" xfId="0" applyFont="1" applyFill="1" applyBorder="1" applyAlignment="1">
      <alignment horizontal="center"/>
    </xf>
    <xf numFmtId="0" fontId="6" fillId="0" borderId="14" xfId="0" applyFont="1" applyBorder="1"/>
    <xf numFmtId="0" fontId="0" fillId="0" borderId="8" xfId="0" applyBorder="1" applyAlignment="1">
      <alignment horizontal="center"/>
    </xf>
    <xf numFmtId="0" fontId="0" fillId="0" borderId="7" xfId="0" applyBorder="1" applyAlignment="1">
      <alignment horizontal="center"/>
    </xf>
    <xf numFmtId="0" fontId="21" fillId="0" borderId="12" xfId="0" applyFont="1" applyBorder="1"/>
    <xf numFmtId="0" fontId="0" fillId="7" borderId="4" xfId="0" applyFill="1" applyBorder="1"/>
    <xf numFmtId="0" fontId="22" fillId="11" borderId="5" xfId="0" applyFont="1" applyFill="1" applyBorder="1" applyAlignment="1">
      <alignment horizontal="center"/>
    </xf>
    <xf numFmtId="0" fontId="9" fillId="7" borderId="6" xfId="0" applyFont="1" applyFill="1" applyBorder="1" applyAlignment="1">
      <alignment horizontal="center"/>
    </xf>
    <xf numFmtId="0" fontId="9" fillId="7" borderId="4" xfId="0" applyFont="1" applyFill="1" applyBorder="1" applyAlignment="1">
      <alignment horizontal="center"/>
    </xf>
    <xf numFmtId="0" fontId="22" fillId="24" borderId="5" xfId="0" applyFont="1" applyFill="1" applyBorder="1" applyAlignment="1">
      <alignment horizontal="center"/>
    </xf>
    <xf numFmtId="0" fontId="0" fillId="7" borderId="6" xfId="0" applyFill="1" applyBorder="1"/>
    <xf numFmtId="0" fontId="21" fillId="6" borderId="12" xfId="0" applyFont="1" applyFill="1" applyBorder="1"/>
    <xf numFmtId="0" fontId="22" fillId="6" borderId="1" xfId="0" applyFont="1" applyFill="1" applyBorder="1" applyAlignment="1">
      <alignment horizontal="center"/>
    </xf>
    <xf numFmtId="0" fontId="22" fillId="6" borderId="2" xfId="0" applyFont="1" applyFill="1" applyBorder="1" applyAlignment="1">
      <alignment horizontal="center"/>
    </xf>
    <xf numFmtId="0" fontId="9" fillId="3" borderId="1" xfId="0" applyFont="1" applyFill="1" applyBorder="1" applyAlignment="1">
      <alignment horizontal="center"/>
    </xf>
    <xf numFmtId="0" fontId="0" fillId="0" borderId="7" xfId="0" applyBorder="1" applyAlignment="1">
      <alignment horizontal="left"/>
    </xf>
    <xf numFmtId="0" fontId="21" fillId="0" borderId="1" xfId="0" applyFont="1" applyBorder="1"/>
    <xf numFmtId="0" fontId="32" fillId="7" borderId="1" xfId="0" applyFont="1" applyFill="1" applyBorder="1" applyAlignment="1">
      <alignment horizontal="center"/>
    </xf>
    <xf numFmtId="0" fontId="6" fillId="0" borderId="17" xfId="0" applyFont="1" applyBorder="1"/>
    <xf numFmtId="0" fontId="0" fillId="0" borderId="17" xfId="0" applyBorder="1" applyAlignment="1">
      <alignment horizontal="center"/>
    </xf>
    <xf numFmtId="0" fontId="6" fillId="0" borderId="16" xfId="0" applyFont="1" applyBorder="1"/>
    <xf numFmtId="0" fontId="0" fillId="0" borderId="16" xfId="0" applyBorder="1" applyAlignment="1">
      <alignment horizontal="center"/>
    </xf>
    <xf numFmtId="0" fontId="0" fillId="0" borderId="8" xfId="0" applyBorder="1" applyAlignment="1">
      <alignment horizontal="left"/>
    </xf>
    <xf numFmtId="0" fontId="6" fillId="6" borderId="12" xfId="0" applyFont="1" applyFill="1" applyBorder="1"/>
    <xf numFmtId="165" fontId="6" fillId="8" borderId="1" xfId="0" applyNumberFormat="1" applyFont="1" applyFill="1" applyBorder="1" applyAlignment="1">
      <alignment horizontal="center"/>
    </xf>
    <xf numFmtId="165" fontId="6" fillId="8" borderId="2" xfId="0" applyNumberFormat="1" applyFont="1" applyFill="1" applyBorder="1" applyAlignment="1">
      <alignment horizontal="center"/>
    </xf>
    <xf numFmtId="165" fontId="6" fillId="8" borderId="3" xfId="0" applyNumberFormat="1" applyFont="1" applyFill="1" applyBorder="1" applyAlignment="1">
      <alignment horizontal="center"/>
    </xf>
    <xf numFmtId="0" fontId="6" fillId="6" borderId="14" xfId="0" applyFont="1" applyFill="1" applyBorder="1"/>
    <xf numFmtId="165" fontId="0" fillId="0" borderId="8" xfId="0" applyNumberFormat="1" applyBorder="1" applyAlignment="1">
      <alignment horizontal="center"/>
    </xf>
    <xf numFmtId="165" fontId="0" fillId="0" borderId="7" xfId="0" applyNumberFormat="1" applyBorder="1" applyAlignment="1">
      <alignment horizontal="center"/>
    </xf>
    <xf numFmtId="0" fontId="6" fillId="6" borderId="7" xfId="0" applyFont="1" applyFill="1" applyBorder="1"/>
    <xf numFmtId="165" fontId="26" fillId="0" borderId="1" xfId="0" applyNumberFormat="1" applyFont="1" applyBorder="1" applyAlignment="1">
      <alignment horizontal="center"/>
    </xf>
    <xf numFmtId="165" fontId="26" fillId="0" borderId="2" xfId="0" applyNumberFormat="1" applyFont="1" applyBorder="1" applyAlignment="1">
      <alignment horizontal="center"/>
    </xf>
    <xf numFmtId="165" fontId="26" fillId="0" borderId="3" xfId="0" applyNumberFormat="1" applyFont="1" applyBorder="1" applyAlignment="1">
      <alignment horizontal="center"/>
    </xf>
    <xf numFmtId="2" fontId="26" fillId="0" borderId="0" xfId="0" applyNumberFormat="1" applyFont="1" applyAlignment="1">
      <alignment horizontal="center"/>
    </xf>
    <xf numFmtId="2" fontId="26" fillId="0" borderId="8" xfId="0" applyNumberFormat="1" applyFont="1" applyBorder="1" applyAlignment="1">
      <alignment horizontal="center"/>
    </xf>
    <xf numFmtId="2" fontId="26" fillId="0" borderId="7" xfId="0" applyNumberFormat="1" applyFont="1" applyBorder="1" applyAlignment="1">
      <alignment horizontal="center"/>
    </xf>
    <xf numFmtId="0" fontId="26" fillId="0" borderId="8" xfId="0" applyFont="1" applyBorder="1"/>
    <xf numFmtId="0" fontId="6" fillId="6" borderId="15" xfId="0" applyFont="1" applyFill="1" applyBorder="1"/>
    <xf numFmtId="0" fontId="6" fillId="0" borderId="19" xfId="0" applyFont="1" applyBorder="1" applyAlignment="1">
      <alignment horizontal="center"/>
    </xf>
    <xf numFmtId="0" fontId="6" fillId="0" borderId="6" xfId="0" applyFont="1" applyBorder="1" applyAlignment="1">
      <alignment horizontal="center"/>
    </xf>
    <xf numFmtId="0" fontId="6" fillId="6" borderId="1" xfId="0" applyFont="1" applyFill="1" applyBorder="1" applyAlignment="1">
      <alignment horizontal="center"/>
    </xf>
    <xf numFmtId="0" fontId="6" fillId="6" borderId="2" xfId="0" applyFont="1" applyFill="1" applyBorder="1" applyAlignment="1">
      <alignment horizontal="center"/>
    </xf>
    <xf numFmtId="165" fontId="24" fillId="6" borderId="12" xfId="0" applyNumberFormat="1" applyFont="1" applyFill="1" applyBorder="1" applyAlignment="1">
      <alignment horizontal="center"/>
    </xf>
    <xf numFmtId="0" fontId="24" fillId="6" borderId="3" xfId="0" applyFont="1" applyFill="1" applyBorder="1" applyAlignment="1">
      <alignment horizontal="center"/>
    </xf>
    <xf numFmtId="165" fontId="24" fillId="6" borderId="15" xfId="0" applyNumberFormat="1" applyFont="1" applyFill="1" applyBorder="1" applyAlignment="1">
      <alignment horizontal="center"/>
    </xf>
    <xf numFmtId="0" fontId="25" fillId="6" borderId="15" xfId="0" applyFont="1" applyFill="1" applyBorder="1" applyAlignment="1">
      <alignment horizontal="center"/>
    </xf>
    <xf numFmtId="165" fontId="24" fillId="0" borderId="0" xfId="0" applyNumberFormat="1" applyFont="1" applyAlignment="1">
      <alignment horizontal="center"/>
    </xf>
    <xf numFmtId="0" fontId="24" fillId="0" borderId="0" xfId="0" applyFont="1" applyAlignment="1">
      <alignment horizontal="center"/>
    </xf>
    <xf numFmtId="0" fontId="7" fillId="0" borderId="1" xfId="0" applyFont="1" applyBorder="1" applyAlignment="1">
      <alignment horizontal="left"/>
    </xf>
    <xf numFmtId="165" fontId="24" fillId="0" borderId="9" xfId="0" applyNumberFormat="1" applyFont="1" applyBorder="1" applyAlignment="1">
      <alignment horizontal="center"/>
    </xf>
    <xf numFmtId="0" fontId="25" fillId="0" borderId="11" xfId="0" applyFont="1" applyBorder="1" applyAlignment="1">
      <alignment horizontal="center"/>
    </xf>
    <xf numFmtId="0" fontId="29" fillId="0" borderId="0" xfId="0" applyFont="1" applyAlignment="1">
      <alignment horizontal="center" vertical="center" wrapText="1"/>
    </xf>
    <xf numFmtId="0" fontId="15" fillId="6" borderId="2" xfId="0" applyFont="1" applyFill="1" applyBorder="1" applyAlignment="1">
      <alignment horizontal="left"/>
    </xf>
    <xf numFmtId="0" fontId="15" fillId="6" borderId="3" xfId="0" applyFont="1" applyFill="1" applyBorder="1" applyAlignment="1">
      <alignment horizontal="left"/>
    </xf>
    <xf numFmtId="0" fontId="0" fillId="0" borderId="5" xfId="0" applyBorder="1" applyAlignment="1">
      <alignment horizontal="left"/>
    </xf>
    <xf numFmtId="0" fontId="21" fillId="0" borderId="5" xfId="0" applyFont="1" applyBorder="1" applyAlignment="1">
      <alignment horizontal="center"/>
    </xf>
    <xf numFmtId="0" fontId="28" fillId="10" borderId="13" xfId="0" applyFont="1" applyFill="1" applyBorder="1" applyAlignment="1">
      <alignment horizontal="center"/>
    </xf>
    <xf numFmtId="0" fontId="28" fillId="10" borderId="6" xfId="0" applyFont="1" applyFill="1" applyBorder="1" applyAlignment="1">
      <alignment horizontal="center"/>
    </xf>
    <xf numFmtId="0" fontId="27" fillId="0" borderId="0" xfId="0" applyFont="1" applyAlignment="1">
      <alignment horizontal="center" vertical="center" wrapText="1"/>
    </xf>
    <xf numFmtId="0" fontId="6" fillId="0" borderId="5" xfId="0" applyFont="1" applyBorder="1" applyAlignment="1">
      <alignment horizontal="center"/>
    </xf>
    <xf numFmtId="0" fontId="0" fillId="0" borderId="24" xfId="0" applyBorder="1" applyAlignment="1">
      <alignment horizontal="center"/>
    </xf>
    <xf numFmtId="0" fontId="6" fillId="0" borderId="21" xfId="0" applyFont="1" applyBorder="1" applyAlignment="1">
      <alignment horizontal="center"/>
    </xf>
    <xf numFmtId="164" fontId="6" fillId="0" borderId="18" xfId="0" applyNumberFormat="1" applyFont="1" applyBorder="1" applyAlignment="1">
      <alignment horizontal="center"/>
    </xf>
    <xf numFmtId="164" fontId="6" fillId="0" borderId="19" xfId="0" applyNumberFormat="1" applyFont="1" applyBorder="1" applyAlignment="1">
      <alignment horizontal="center"/>
    </xf>
    <xf numFmtId="164" fontId="6" fillId="0" borderId="20" xfId="0" applyNumberFormat="1" applyFont="1" applyBorder="1" applyAlignment="1">
      <alignment horizontal="center"/>
    </xf>
    <xf numFmtId="0" fontId="0" fillId="0" borderId="25" xfId="0" applyBorder="1" applyAlignment="1">
      <alignment horizontal="center"/>
    </xf>
    <xf numFmtId="0" fontId="6" fillId="0" borderId="22" xfId="0" applyFont="1" applyBorder="1" applyAlignment="1">
      <alignment horizontal="center"/>
    </xf>
    <xf numFmtId="0" fontId="25" fillId="0" borderId="0" xfId="0" applyFont="1" applyAlignment="1">
      <alignment horizontal="center"/>
    </xf>
    <xf numFmtId="0" fontId="20" fillId="2" borderId="0" xfId="0" applyFont="1" applyFill="1"/>
    <xf numFmtId="0" fontId="0" fillId="0" borderId="26" xfId="0" applyBorder="1" applyAlignment="1">
      <alignment horizontal="center"/>
    </xf>
    <xf numFmtId="0" fontId="6" fillId="0" borderId="23" xfId="0" applyFont="1" applyBorder="1" applyAlignment="1">
      <alignment horizontal="center"/>
    </xf>
    <xf numFmtId="0" fontId="28" fillId="0" borderId="0" xfId="0" applyFont="1" applyAlignment="1">
      <alignment horizontal="center"/>
    </xf>
    <xf numFmtId="0" fontId="7" fillId="0" borderId="5" xfId="0" applyFont="1" applyBorder="1" applyAlignment="1">
      <alignment horizontal="center"/>
    </xf>
    <xf numFmtId="0" fontId="15" fillId="0" borderId="9" xfId="0" applyFont="1" applyBorder="1"/>
    <xf numFmtId="0" fontId="15" fillId="0" borderId="10" xfId="0" applyFont="1" applyBorder="1"/>
    <xf numFmtId="0" fontId="24" fillId="0" borderId="11" xfId="0" applyFont="1" applyBorder="1"/>
    <xf numFmtId="0" fontId="6" fillId="0" borderId="4" xfId="0" applyFont="1" applyBorder="1"/>
    <xf numFmtId="0" fontId="6" fillId="0" borderId="6" xfId="0" applyFont="1" applyBorder="1"/>
    <xf numFmtId="0" fontId="31" fillId="0" borderId="0" xfId="0" applyFont="1" applyAlignment="1">
      <alignment horizontal="center"/>
    </xf>
    <xf numFmtId="0" fontId="15" fillId="0" borderId="4" xfId="0" applyFont="1" applyBorder="1"/>
    <xf numFmtId="0" fontId="9" fillId="3" borderId="5" xfId="0" applyFont="1" applyFill="1" applyBorder="1" applyAlignment="1">
      <alignment horizontal="center"/>
    </xf>
    <xf numFmtId="0" fontId="0" fillId="0" borderId="5" xfId="0" applyBorder="1" applyAlignment="1">
      <alignment horizontal="center"/>
    </xf>
    <xf numFmtId="0" fontId="0" fillId="2" borderId="0" xfId="0" applyFill="1" applyAlignment="1">
      <alignment horizontal="center"/>
    </xf>
    <xf numFmtId="0" fontId="9" fillId="3" borderId="0" xfId="0" applyFont="1" applyFill="1" applyAlignment="1">
      <alignment horizontal="center"/>
    </xf>
    <xf numFmtId="0" fontId="9" fillId="2" borderId="0" xfId="0" applyFont="1" applyFill="1" applyAlignment="1">
      <alignment horizontal="center"/>
    </xf>
    <xf numFmtId="0" fontId="6" fillId="0" borderId="8" xfId="0" applyFont="1" applyBorder="1"/>
    <xf numFmtId="0" fontId="0" fillId="0" borderId="10" xfId="0" applyBorder="1" applyAlignment="1">
      <alignment horizontal="center"/>
    </xf>
    <xf numFmtId="0" fontId="9" fillId="3" borderId="10" xfId="0" applyFont="1" applyFill="1" applyBorder="1" applyAlignment="1">
      <alignment horizontal="center"/>
    </xf>
    <xf numFmtId="0" fontId="6" fillId="0" borderId="11" xfId="0" applyFont="1" applyBorder="1"/>
    <xf numFmtId="0" fontId="0" fillId="0" borderId="11" xfId="0" applyBorder="1"/>
    <xf numFmtId="2" fontId="55" fillId="0" borderId="0" xfId="0" applyNumberFormat="1" applyFont="1" applyAlignment="1">
      <alignment horizontal="center"/>
    </xf>
    <xf numFmtId="2" fontId="55" fillId="0" borderId="8" xfId="0" applyNumberFormat="1" applyFont="1" applyBorder="1"/>
    <xf numFmtId="1" fontId="30" fillId="2" borderId="0" xfId="0" applyNumberFormat="1" applyFont="1" applyFill="1" applyAlignment="1">
      <alignment horizontal="center"/>
    </xf>
    <xf numFmtId="2" fontId="55" fillId="0" borderId="10" xfId="0" applyNumberFormat="1" applyFont="1" applyBorder="1" applyAlignment="1">
      <alignment horizontal="center"/>
    </xf>
    <xf numFmtId="1" fontId="0" fillId="0" borderId="10" xfId="0" applyNumberFormat="1" applyBorder="1" applyAlignment="1">
      <alignment horizontal="center"/>
    </xf>
    <xf numFmtId="2" fontId="55" fillId="0" borderId="11" xfId="0" applyNumberFormat="1" applyFont="1" applyBorder="1"/>
    <xf numFmtId="0" fontId="23" fillId="0" borderId="1" xfId="0" applyFont="1" applyBorder="1"/>
    <xf numFmtId="164" fontId="24" fillId="8" borderId="12" xfId="0" applyNumberFormat="1" applyFont="1" applyFill="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9" fillId="0" borderId="0" xfId="0" applyFont="1"/>
    <xf numFmtId="0" fontId="0" fillId="0" borderId="1" xfId="0" applyBorder="1" applyAlignment="1">
      <alignment horizontal="center"/>
    </xf>
    <xf numFmtId="0" fontId="7" fillId="11" borderId="2" xfId="0" applyFont="1" applyFill="1" applyBorder="1" applyAlignment="1">
      <alignment horizontal="center"/>
    </xf>
    <xf numFmtId="0" fontId="0" fillId="0" borderId="3" xfId="0" applyBorder="1" applyAlignment="1">
      <alignment horizontal="center"/>
    </xf>
    <xf numFmtId="0" fontId="19" fillId="0" borderId="0" xfId="0" applyFont="1"/>
    <xf numFmtId="0" fontId="9" fillId="5" borderId="1" xfId="0" applyFont="1" applyFill="1" applyBorder="1"/>
    <xf numFmtId="0" fontId="9" fillId="5" borderId="3" xfId="0" applyFont="1" applyFill="1" applyBorder="1" applyAlignment="1">
      <alignment horizontal="center"/>
    </xf>
    <xf numFmtId="0" fontId="21" fillId="6" borderId="1" xfId="0" applyFont="1" applyFill="1" applyBorder="1"/>
    <xf numFmtId="0" fontId="9" fillId="0" borderId="2" xfId="0" applyFont="1" applyBorder="1" applyAlignment="1">
      <alignment horizontal="center"/>
    </xf>
    <xf numFmtId="0" fontId="8" fillId="0" borderId="7" xfId="0" applyFont="1" applyBorder="1"/>
    <xf numFmtId="0" fontId="9" fillId="5" borderId="4" xfId="0" applyFont="1" applyFill="1" applyBorder="1"/>
    <xf numFmtId="0" fontId="18" fillId="5" borderId="6" xfId="0" applyFont="1" applyFill="1" applyBorder="1"/>
    <xf numFmtId="0" fontId="15" fillId="6" borderId="0" xfId="0" applyFont="1" applyFill="1" applyAlignment="1">
      <alignment horizontal="center"/>
    </xf>
    <xf numFmtId="0" fontId="9" fillId="5" borderId="9" xfId="0" applyFont="1" applyFill="1" applyBorder="1"/>
    <xf numFmtId="0" fontId="19" fillId="5" borderId="11" xfId="0" applyFont="1" applyFill="1" applyBorder="1"/>
    <xf numFmtId="0" fontId="8" fillId="0" borderId="9" xfId="0" applyFont="1" applyBorder="1"/>
    <xf numFmtId="0" fontId="15" fillId="6" borderId="10" xfId="0" applyFont="1" applyFill="1" applyBorder="1" applyAlignment="1">
      <alignment horizontal="center"/>
    </xf>
    <xf numFmtId="0" fontId="14" fillId="9" borderId="4" xfId="0" applyFont="1" applyFill="1" applyBorder="1"/>
    <xf numFmtId="1" fontId="12" fillId="9" borderId="5" xfId="0" applyNumberFormat="1" applyFont="1" applyFill="1" applyBorder="1" applyAlignment="1">
      <alignment horizontal="center"/>
    </xf>
    <xf numFmtId="0" fontId="14" fillId="9" borderId="6" xfId="0" applyFont="1" applyFill="1" applyBorder="1"/>
    <xf numFmtId="0" fontId="14" fillId="9" borderId="7" xfId="0" applyFont="1" applyFill="1" applyBorder="1"/>
    <xf numFmtId="1" fontId="17" fillId="2" borderId="0" xfId="0" applyNumberFormat="1" applyFont="1" applyFill="1" applyAlignment="1">
      <alignment horizontal="center"/>
    </xf>
    <xf numFmtId="1" fontId="17" fillId="9" borderId="0" xfId="0" applyNumberFormat="1" applyFont="1" applyFill="1" applyAlignment="1">
      <alignment horizontal="center"/>
    </xf>
    <xf numFmtId="1" fontId="12" fillId="9" borderId="0" xfId="0" applyNumberFormat="1" applyFont="1" applyFill="1" applyAlignment="1">
      <alignment horizontal="center"/>
    </xf>
    <xf numFmtId="0" fontId="14" fillId="9" borderId="8" xfId="0" applyFont="1" applyFill="1" applyBorder="1"/>
    <xf numFmtId="0" fontId="14" fillId="9" borderId="9" xfId="0" applyFont="1" applyFill="1" applyBorder="1"/>
    <xf numFmtId="1" fontId="12" fillId="9" borderId="10" xfId="0" applyNumberFormat="1" applyFont="1" applyFill="1" applyBorder="1" applyAlignment="1">
      <alignment horizontal="center"/>
    </xf>
    <xf numFmtId="0" fontId="14" fillId="9" borderId="11" xfId="0" applyFont="1" applyFill="1" applyBorder="1"/>
    <xf numFmtId="0" fontId="0" fillId="0" borderId="11" xfId="0" applyBorder="1" applyAlignment="1">
      <alignment horizontal="left"/>
    </xf>
    <xf numFmtId="0" fontId="20" fillId="0" borderId="4" xfId="0" applyFont="1" applyBorder="1"/>
    <xf numFmtId="164" fontId="0" fillId="0" borderId="5" xfId="0" applyNumberFormat="1" applyBorder="1" applyAlignment="1">
      <alignment horizontal="center"/>
    </xf>
    <xf numFmtId="2" fontId="0" fillId="0" borderId="5" xfId="0" applyNumberFormat="1" applyBorder="1" applyAlignment="1">
      <alignment horizontal="center"/>
    </xf>
    <xf numFmtId="0" fontId="20" fillId="0" borderId="7" xfId="0" applyFont="1" applyBorder="1"/>
    <xf numFmtId="164" fontId="0" fillId="2" borderId="0" xfId="0" applyNumberFormat="1" applyFill="1" applyAlignment="1">
      <alignment horizontal="center"/>
    </xf>
    <xf numFmtId="0" fontId="20" fillId="0" borderId="9" xfId="0" applyFont="1" applyBorder="1"/>
    <xf numFmtId="164" fontId="0" fillId="0" borderId="10" xfId="0" applyNumberFormat="1" applyBorder="1" applyAlignment="1">
      <alignment horizontal="center"/>
    </xf>
    <xf numFmtId="2" fontId="0" fillId="0" borderId="10" xfId="0" applyNumberFormat="1" applyBorder="1" applyAlignment="1">
      <alignment horizontal="center"/>
    </xf>
    <xf numFmtId="0" fontId="10" fillId="0" borderId="0" xfId="0" applyFont="1" applyAlignment="1">
      <alignment horizontal="left"/>
    </xf>
    <xf numFmtId="0" fontId="10" fillId="0" borderId="0" xfId="0" applyFont="1"/>
    <xf numFmtId="0" fontId="10" fillId="0" borderId="0" xfId="0" applyFont="1" applyAlignment="1">
      <alignment horizontal="right"/>
    </xf>
    <xf numFmtId="165" fontId="0" fillId="0" borderId="10" xfId="0" applyNumberFormat="1" applyBorder="1" applyAlignment="1">
      <alignment horizontal="center"/>
    </xf>
    <xf numFmtId="0" fontId="0" fillId="0" borderId="6" xfId="0" applyBorder="1" applyAlignment="1">
      <alignment horizontal="right"/>
    </xf>
    <xf numFmtId="2" fontId="0" fillId="0" borderId="5" xfId="0" applyNumberFormat="1" applyBorder="1"/>
    <xf numFmtId="2" fontId="0" fillId="2" borderId="0" xfId="0" applyNumberFormat="1" applyFill="1" applyAlignment="1">
      <alignment horizontal="center"/>
    </xf>
    <xf numFmtId="2" fontId="0" fillId="0" borderId="10" xfId="0" applyNumberFormat="1" applyBorder="1"/>
    <xf numFmtId="164" fontId="0" fillId="0" borderId="10" xfId="0" applyNumberFormat="1" applyBorder="1"/>
    <xf numFmtId="0" fontId="0" fillId="4" borderId="7" xfId="0" applyFill="1" applyBorder="1"/>
    <xf numFmtId="2" fontId="15" fillId="4" borderId="0" xfId="0" applyNumberFormat="1" applyFont="1" applyFill="1" applyAlignment="1">
      <alignment horizontal="center"/>
    </xf>
    <xf numFmtId="0" fontId="0" fillId="4" borderId="8" xfId="0" applyFill="1" applyBorder="1" applyAlignment="1">
      <alignment horizontal="center"/>
    </xf>
    <xf numFmtId="1" fontId="0" fillId="0" borderId="5" xfId="0" applyNumberFormat="1" applyBorder="1" applyAlignment="1">
      <alignment horizontal="center"/>
    </xf>
    <xf numFmtId="1" fontId="6" fillId="0" borderId="5" xfId="0" applyNumberFormat="1" applyFont="1" applyBorder="1" applyAlignment="1">
      <alignment horizontal="center"/>
    </xf>
    <xf numFmtId="1" fontId="6" fillId="0" borderId="6" xfId="0" applyNumberFormat="1" applyFont="1" applyBorder="1" applyAlignment="1">
      <alignment horizontal="center"/>
    </xf>
    <xf numFmtId="1" fontId="6" fillId="0" borderId="8" xfId="0" applyNumberFormat="1" applyFont="1" applyBorder="1" applyAlignment="1">
      <alignment horizontal="center"/>
    </xf>
    <xf numFmtId="1" fontId="6" fillId="0" borderId="10" xfId="0" applyNumberFormat="1" applyFont="1" applyBorder="1" applyAlignment="1">
      <alignment horizontal="center"/>
    </xf>
    <xf numFmtId="1" fontId="6" fillId="0" borderId="11" xfId="0" applyNumberFormat="1" applyFont="1" applyBorder="1" applyAlignment="1">
      <alignment horizontal="center"/>
    </xf>
    <xf numFmtId="2" fontId="15" fillId="0" borderId="0" xfId="0" applyNumberFormat="1" applyFont="1" applyAlignment="1">
      <alignment horizontal="center"/>
    </xf>
    <xf numFmtId="0" fontId="7" fillId="4" borderId="2" xfId="0" applyFont="1" applyFill="1" applyBorder="1" applyAlignment="1">
      <alignment horizontal="center"/>
    </xf>
    <xf numFmtId="0" fontId="7" fillId="4" borderId="3" xfId="0" applyFont="1" applyFill="1" applyBorder="1" applyAlignment="1">
      <alignment horizontal="center"/>
    </xf>
    <xf numFmtId="0" fontId="15" fillId="0" borderId="83" xfId="0" applyFont="1" applyBorder="1" applyAlignment="1">
      <alignment horizontal="left"/>
    </xf>
    <xf numFmtId="0" fontId="13" fillId="0" borderId="6" xfId="0" applyFont="1" applyBorder="1"/>
    <xf numFmtId="0" fontId="0" fillId="0" borderId="14" xfId="0" applyBorder="1" applyAlignment="1">
      <alignment horizontal="left"/>
    </xf>
    <xf numFmtId="0" fontId="0" fillId="7" borderId="1" xfId="0" applyFill="1" applyBorder="1"/>
    <xf numFmtId="0" fontId="22" fillId="11" borderId="2" xfId="0" applyFont="1" applyFill="1" applyBorder="1" applyAlignment="1">
      <alignment horizontal="center"/>
    </xf>
    <xf numFmtId="0" fontId="9" fillId="7" borderId="3" xfId="0" applyFont="1" applyFill="1" applyBorder="1" applyAlignment="1">
      <alignment horizontal="center"/>
    </xf>
    <xf numFmtId="0" fontId="9" fillId="7" borderId="1" xfId="0" applyFont="1" applyFill="1" applyBorder="1" applyAlignment="1">
      <alignment horizontal="center"/>
    </xf>
    <xf numFmtId="0" fontId="0" fillId="7" borderId="3" xfId="0" applyFill="1" applyBorder="1"/>
    <xf numFmtId="0" fontId="22" fillId="6" borderId="12" xfId="0" applyFont="1" applyFill="1" applyBorder="1"/>
    <xf numFmtId="0" fontId="22" fillId="0" borderId="1" xfId="0" applyFont="1" applyBorder="1" applyAlignment="1">
      <alignment horizontal="center"/>
    </xf>
    <xf numFmtId="0" fontId="6" fillId="6" borderId="27" xfId="0" applyFont="1" applyFill="1" applyBorder="1"/>
    <xf numFmtId="0" fontId="6" fillId="6" borderId="25" xfId="0" applyFont="1" applyFill="1" applyBorder="1"/>
    <xf numFmtId="0" fontId="6" fillId="0" borderId="30" xfId="0" applyFont="1" applyBorder="1" applyAlignment="1">
      <alignment horizontal="center"/>
    </xf>
    <xf numFmtId="0" fontId="6" fillId="0" borderId="16" xfId="0" applyFont="1" applyBorder="1" applyAlignment="1">
      <alignment horizontal="center"/>
    </xf>
    <xf numFmtId="0" fontId="6" fillId="13" borderId="14" xfId="0" applyFont="1" applyFill="1" applyBorder="1"/>
    <xf numFmtId="165" fontId="0" fillId="8" borderId="2" xfId="0" applyNumberFormat="1" applyFill="1" applyBorder="1" applyAlignment="1">
      <alignment horizontal="center"/>
    </xf>
    <xf numFmtId="165" fontId="0" fillId="8" borderId="3" xfId="0" applyNumberFormat="1" applyFill="1" applyBorder="1" applyAlignment="1">
      <alignment horizontal="center"/>
    </xf>
    <xf numFmtId="165" fontId="0" fillId="8" borderId="1" xfId="0" applyNumberFormat="1" applyFill="1" applyBorder="1" applyAlignment="1">
      <alignment horizontal="center"/>
    </xf>
    <xf numFmtId="0" fontId="0" fillId="4" borderId="33" xfId="0" applyFill="1" applyBorder="1"/>
    <xf numFmtId="0" fontId="6" fillId="4" borderId="34" xfId="0" applyFont="1" applyFill="1" applyBorder="1" applyAlignment="1">
      <alignment horizontal="center"/>
    </xf>
    <xf numFmtId="165" fontId="26" fillId="0" borderId="0" xfId="0" applyNumberFormat="1" applyFont="1" applyAlignment="1">
      <alignment horizontal="center"/>
    </xf>
    <xf numFmtId="165" fontId="26" fillId="0" borderId="8" xfId="0" applyNumberFormat="1" applyFont="1" applyBorder="1" applyAlignment="1">
      <alignment horizontal="center"/>
    </xf>
    <xf numFmtId="165" fontId="26" fillId="0" borderId="7" xfId="0" applyNumberFormat="1" applyFont="1" applyBorder="1" applyAlignment="1">
      <alignment horizontal="center"/>
    </xf>
    <xf numFmtId="0" fontId="6" fillId="13" borderId="15" xfId="0" applyFont="1" applyFill="1" applyBorder="1"/>
    <xf numFmtId="0" fontId="6" fillId="0" borderId="35" xfId="0" applyFont="1" applyBorder="1" applyAlignment="1">
      <alignment horizontal="center"/>
    </xf>
    <xf numFmtId="0" fontId="21" fillId="6" borderId="15" xfId="0" applyFont="1" applyFill="1" applyBorder="1" applyAlignment="1">
      <alignment horizontal="center"/>
    </xf>
    <xf numFmtId="0" fontId="0" fillId="0" borderId="15" xfId="0" applyBorder="1" applyAlignment="1">
      <alignment horizontal="left"/>
    </xf>
    <xf numFmtId="0" fontId="7" fillId="6" borderId="1" xfId="0" applyFont="1" applyFill="1" applyBorder="1"/>
    <xf numFmtId="0" fontId="7" fillId="6" borderId="2" xfId="0" applyFont="1" applyFill="1" applyBorder="1"/>
    <xf numFmtId="0" fontId="7" fillId="6" borderId="3" xfId="0" applyFont="1" applyFill="1" applyBorder="1"/>
    <xf numFmtId="0" fontId="24" fillId="6" borderId="35" xfId="0" applyFont="1" applyFill="1" applyBorder="1" applyAlignment="1">
      <alignment horizontal="center"/>
    </xf>
    <xf numFmtId="0" fontId="15" fillId="0" borderId="1" xfId="0" applyFont="1" applyBorder="1"/>
    <xf numFmtId="165" fontId="24" fillId="0" borderId="12" xfId="0" applyNumberFormat="1" applyFont="1" applyBorder="1" applyAlignment="1">
      <alignment horizontal="center"/>
    </xf>
    <xf numFmtId="0" fontId="7" fillId="6" borderId="12" xfId="0" applyFont="1" applyFill="1" applyBorder="1" applyAlignment="1">
      <alignment horizontal="center"/>
    </xf>
    <xf numFmtId="0" fontId="15" fillId="0" borderId="0" xfId="0" applyFont="1"/>
    <xf numFmtId="0" fontId="15" fillId="0" borderId="11" xfId="0" applyFont="1" applyBorder="1" applyAlignment="1">
      <alignment horizontal="center"/>
    </xf>
    <xf numFmtId="0" fontId="15" fillId="12" borderId="8" xfId="0" applyFont="1" applyFill="1" applyBorder="1" applyAlignment="1">
      <alignment horizontal="center"/>
    </xf>
    <xf numFmtId="0" fontId="6" fillId="0" borderId="5" xfId="0" applyFont="1" applyBorder="1" applyAlignment="1">
      <alignment horizontal="left"/>
    </xf>
    <xf numFmtId="0" fontId="9" fillId="2" borderId="4" xfId="0" applyFont="1" applyFill="1" applyBorder="1" applyAlignment="1">
      <alignment horizontal="center"/>
    </xf>
    <xf numFmtId="0" fontId="9" fillId="2" borderId="9" xfId="0" applyFont="1" applyFill="1" applyBorder="1" applyAlignment="1">
      <alignment horizontal="center"/>
    </xf>
    <xf numFmtId="0" fontId="6" fillId="0" borderId="14" xfId="0" applyFont="1" applyBorder="1" applyAlignment="1">
      <alignment horizontal="left"/>
    </xf>
    <xf numFmtId="0" fontId="0" fillId="2" borderId="7" xfId="0" applyFill="1" applyBorder="1" applyAlignment="1">
      <alignment horizontal="center"/>
    </xf>
    <xf numFmtId="0" fontId="9" fillId="2" borderId="7" xfId="0" applyFont="1" applyFill="1" applyBorder="1" applyAlignment="1">
      <alignment horizontal="center"/>
    </xf>
    <xf numFmtId="0" fontId="0" fillId="2" borderId="4" xfId="0" applyFill="1" applyBorder="1" applyAlignment="1">
      <alignment horizontal="center"/>
    </xf>
    <xf numFmtId="0" fontId="0" fillId="2" borderId="9" xfId="0" applyFill="1" applyBorder="1" applyAlignment="1">
      <alignment horizontal="center"/>
    </xf>
    <xf numFmtId="0" fontId="6" fillId="0" borderId="10" xfId="0" applyFont="1" applyBorder="1" applyAlignment="1">
      <alignment horizontal="left"/>
    </xf>
    <xf numFmtId="0" fontId="9" fillId="2" borderId="10" xfId="0" applyFont="1" applyFill="1" applyBorder="1" applyAlignment="1">
      <alignment horizontal="center"/>
    </xf>
    <xf numFmtId="0" fontId="33" fillId="0" borderId="10" xfId="0" applyFont="1" applyBorder="1" applyAlignment="1">
      <alignment horizontal="center"/>
    </xf>
    <xf numFmtId="0" fontId="6" fillId="0" borderId="11" xfId="0" applyFont="1" applyBorder="1" applyAlignment="1">
      <alignment horizontal="left"/>
    </xf>
    <xf numFmtId="0" fontId="0" fillId="2" borderId="0" xfId="0" applyFill="1"/>
    <xf numFmtId="0" fontId="0" fillId="0" borderId="13" xfId="0" applyBorder="1" applyAlignment="1">
      <alignment horizontal="right"/>
    </xf>
    <xf numFmtId="2" fontId="0" fillId="0" borderId="14" xfId="0" applyNumberFormat="1" applyBorder="1"/>
    <xf numFmtId="0" fontId="0" fillId="2" borderId="10" xfId="0" applyFill="1" applyBorder="1"/>
    <xf numFmtId="0" fontId="0" fillId="0" borderId="15" xfId="0" applyBorder="1" applyAlignment="1">
      <alignment horizontal="right"/>
    </xf>
    <xf numFmtId="166" fontId="23" fillId="8" borderId="12" xfId="1" applyNumberFormat="1" applyFont="1" applyFill="1" applyBorder="1" applyAlignment="1" applyProtection="1">
      <alignment horizontal="center"/>
    </xf>
    <xf numFmtId="0" fontId="23" fillId="0" borderId="2" xfId="0" applyFont="1" applyBorder="1"/>
    <xf numFmtId="0" fontId="10" fillId="0" borderId="2" xfId="0" applyFont="1" applyBorder="1"/>
    <xf numFmtId="166" fontId="23" fillId="8" borderId="12" xfId="1" applyNumberFormat="1" applyFont="1" applyFill="1" applyBorder="1" applyAlignment="1" applyProtection="1"/>
    <xf numFmtId="0" fontId="23" fillId="0" borderId="3" xfId="0" applyFont="1" applyBorder="1"/>
    <xf numFmtId="2" fontId="0" fillId="2" borderId="5" xfId="0" applyNumberFormat="1" applyFill="1" applyBorder="1" applyAlignment="1">
      <alignment horizontal="center"/>
    </xf>
    <xf numFmtId="2" fontId="0" fillId="2" borderId="10" xfId="0" applyNumberFormat="1" applyFill="1" applyBorder="1" applyAlignment="1">
      <alignment horizontal="center"/>
    </xf>
    <xf numFmtId="0" fontId="0" fillId="0" borderId="7" xfId="0" applyBorder="1" applyAlignment="1">
      <alignment horizontal="right"/>
    </xf>
    <xf numFmtId="0" fontId="8" fillId="0" borderId="0" xfId="0" applyFont="1"/>
    <xf numFmtId="0" fontId="14" fillId="0" borderId="0" xfId="0" applyFont="1"/>
    <xf numFmtId="167" fontId="0" fillId="0" borderId="10" xfId="0" applyNumberFormat="1" applyBorder="1" applyAlignment="1">
      <alignment horizontal="center"/>
    </xf>
    <xf numFmtId="0" fontId="0" fillId="2" borderId="10" xfId="0" applyFill="1" applyBorder="1" applyAlignment="1">
      <alignment horizontal="center"/>
    </xf>
    <xf numFmtId="0" fontId="0" fillId="0" borderId="4" xfId="0" applyBorder="1" applyAlignment="1">
      <alignment horizontal="left"/>
    </xf>
    <xf numFmtId="0" fontId="10" fillId="0" borderId="5" xfId="0" applyFont="1" applyBorder="1" applyAlignment="1">
      <alignment horizontal="center"/>
    </xf>
    <xf numFmtId="0" fontId="34" fillId="0" borderId="5" xfId="0" applyFont="1" applyBorder="1" applyAlignment="1">
      <alignment horizontal="center"/>
    </xf>
    <xf numFmtId="0" fontId="34" fillId="0" borderId="6" xfId="0" applyFont="1" applyBorder="1" applyAlignment="1">
      <alignment horizontal="center"/>
    </xf>
    <xf numFmtId="164" fontId="22" fillId="0" borderId="0" xfId="0" applyNumberFormat="1" applyFont="1" applyAlignment="1">
      <alignment horizontal="center"/>
    </xf>
    <xf numFmtId="0" fontId="34" fillId="0" borderId="8" xfId="0" applyFont="1" applyBorder="1" applyAlignment="1">
      <alignment horizontal="center"/>
    </xf>
    <xf numFmtId="0" fontId="8" fillId="3" borderId="1" xfId="0" applyFont="1" applyFill="1" applyBorder="1"/>
    <xf numFmtId="0" fontId="15" fillId="5" borderId="4" xfId="0" applyFont="1" applyFill="1" applyBorder="1"/>
    <xf numFmtId="0" fontId="0" fillId="5" borderId="6" xfId="0" applyFill="1" applyBorder="1"/>
    <xf numFmtId="0" fontId="8" fillId="3" borderId="4" xfId="0" applyFont="1" applyFill="1" applyBorder="1"/>
    <xf numFmtId="0" fontId="15" fillId="5" borderId="9" xfId="0" applyFont="1" applyFill="1" applyBorder="1"/>
    <xf numFmtId="0" fontId="0" fillId="5" borderId="11" xfId="0" applyFill="1" applyBorder="1"/>
    <xf numFmtId="0" fontId="21" fillId="0" borderId="7" xfId="0" applyFont="1" applyBorder="1"/>
    <xf numFmtId="0" fontId="19" fillId="2" borderId="0" xfId="0" applyFont="1" applyFill="1" applyAlignment="1">
      <alignment horizontal="center"/>
    </xf>
    <xf numFmtId="0" fontId="6" fillId="5" borderId="4" xfId="0" applyFont="1" applyFill="1" applyBorder="1" applyAlignment="1">
      <alignment horizontal="left"/>
    </xf>
    <xf numFmtId="0" fontId="6" fillId="5" borderId="6" xfId="0" applyFont="1" applyFill="1" applyBorder="1" applyAlignment="1">
      <alignment horizontal="center"/>
    </xf>
    <xf numFmtId="0" fontId="21" fillId="0" borderId="9" xfId="0" applyFont="1" applyBorder="1"/>
    <xf numFmtId="0" fontId="6" fillId="5" borderId="9" xfId="0" quotePrefix="1" applyFont="1" applyFill="1" applyBorder="1" applyAlignment="1">
      <alignment horizontal="left"/>
    </xf>
    <xf numFmtId="0" fontId="6" fillId="5" borderId="11" xfId="0" applyFont="1" applyFill="1" applyBorder="1" applyAlignment="1">
      <alignment horizontal="center"/>
    </xf>
    <xf numFmtId="0" fontId="11" fillId="15" borderId="4" xfId="0" applyFont="1" applyFill="1" applyBorder="1"/>
    <xf numFmtId="165" fontId="12" fillId="15" borderId="5" xfId="0" applyNumberFormat="1" applyFont="1" applyFill="1" applyBorder="1" applyAlignment="1">
      <alignment horizontal="center"/>
    </xf>
    <xf numFmtId="165" fontId="11" fillId="15" borderId="5" xfId="0" applyNumberFormat="1" applyFont="1" applyFill="1" applyBorder="1" applyAlignment="1">
      <alignment horizontal="center"/>
    </xf>
    <xf numFmtId="0" fontId="0" fillId="15" borderId="6" xfId="0" applyFill="1" applyBorder="1"/>
    <xf numFmtId="0" fontId="11" fillId="15" borderId="7" xfId="0" applyFont="1" applyFill="1" applyBorder="1"/>
    <xf numFmtId="165" fontId="12" fillId="15" borderId="0" xfId="0" applyNumberFormat="1" applyFont="1" applyFill="1" applyAlignment="1">
      <alignment horizontal="center"/>
    </xf>
    <xf numFmtId="165" fontId="14" fillId="15" borderId="0" xfId="0" applyNumberFormat="1" applyFont="1" applyFill="1" applyAlignment="1">
      <alignment horizontal="center"/>
    </xf>
    <xf numFmtId="165" fontId="21" fillId="2" borderId="0" xfId="0" applyNumberFormat="1" applyFont="1" applyFill="1" applyAlignment="1">
      <alignment horizontal="center"/>
    </xf>
    <xf numFmtId="0" fontId="0" fillId="15" borderId="8" xfId="0" applyFill="1" applyBorder="1"/>
    <xf numFmtId="165" fontId="14" fillId="2" borderId="0" xfId="0" applyNumberFormat="1" applyFont="1" applyFill="1" applyAlignment="1">
      <alignment horizontal="center"/>
    </xf>
    <xf numFmtId="0" fontId="0" fillId="15" borderId="11" xfId="0" applyFill="1" applyBorder="1"/>
    <xf numFmtId="0" fontId="15" fillId="12" borderId="7" xfId="0" applyFont="1" applyFill="1" applyBorder="1" applyAlignment="1">
      <alignment horizontal="center"/>
    </xf>
    <xf numFmtId="167" fontId="0" fillId="0" borderId="0" xfId="0" applyNumberFormat="1" applyAlignment="1">
      <alignment horizontal="center"/>
    </xf>
    <xf numFmtId="2" fontId="0" fillId="0" borderId="5" xfId="0" applyNumberFormat="1" applyBorder="1" applyAlignment="1">
      <alignment horizontal="left"/>
    </xf>
    <xf numFmtId="2" fontId="0" fillId="0" borderId="0" xfId="0" applyNumberFormat="1" applyAlignment="1">
      <alignment horizontal="left"/>
    </xf>
    <xf numFmtId="0" fontId="0" fillId="16" borderId="4" xfId="0" applyFill="1" applyBorder="1"/>
    <xf numFmtId="2" fontId="6" fillId="16" borderId="5" xfId="0" applyNumberFormat="1" applyFont="1" applyFill="1" applyBorder="1" applyAlignment="1">
      <alignment horizontal="center"/>
    </xf>
    <xf numFmtId="0" fontId="0" fillId="16" borderId="6" xfId="0" applyFill="1" applyBorder="1"/>
    <xf numFmtId="2" fontId="0" fillId="0" borderId="6" xfId="0" applyNumberFormat="1" applyBorder="1" applyAlignment="1">
      <alignment horizontal="center"/>
    </xf>
    <xf numFmtId="2" fontId="0" fillId="0" borderId="8" xfId="0" applyNumberFormat="1" applyBorder="1" applyAlignment="1">
      <alignment horizontal="center"/>
    </xf>
    <xf numFmtId="0" fontId="9" fillId="3" borderId="4" xfId="0" applyFont="1" applyFill="1" applyBorder="1" applyAlignment="1" applyProtection="1">
      <alignment horizontal="center"/>
      <protection locked="0"/>
    </xf>
    <xf numFmtId="0" fontId="8" fillId="3" borderId="9" xfId="0" applyFont="1" applyFill="1" applyBorder="1" applyAlignment="1" applyProtection="1">
      <alignment horizontal="center"/>
      <protection locked="0"/>
    </xf>
    <xf numFmtId="0" fontId="9" fillId="3" borderId="9" xfId="0" applyFont="1" applyFill="1" applyBorder="1" applyAlignment="1" applyProtection="1">
      <alignment horizontal="center"/>
      <protection locked="0"/>
    </xf>
    <xf numFmtId="0" fontId="0" fillId="3" borderId="5" xfId="0" applyFill="1" applyBorder="1" applyAlignment="1" applyProtection="1">
      <alignment horizontal="center"/>
      <protection locked="0"/>
    </xf>
    <xf numFmtId="0" fontId="9" fillId="6" borderId="2" xfId="0" applyFont="1" applyFill="1" applyBorder="1"/>
    <xf numFmtId="0" fontId="0" fillId="6" borderId="2" xfId="0" applyFill="1" applyBorder="1"/>
    <xf numFmtId="0" fontId="0" fillId="6" borderId="3" xfId="0" applyFill="1" applyBorder="1"/>
    <xf numFmtId="0" fontId="22" fillId="6" borderId="12" xfId="0" applyFont="1" applyFill="1" applyBorder="1" applyAlignment="1">
      <alignment horizontal="center"/>
    </xf>
    <xf numFmtId="1" fontId="22" fillId="0" borderId="0" xfId="0" applyNumberFormat="1" applyFont="1" applyAlignment="1">
      <alignment horizontal="center"/>
    </xf>
    <xf numFmtId="0" fontId="22" fillId="0" borderId="1" xfId="0" applyFont="1" applyBorder="1"/>
    <xf numFmtId="0" fontId="22" fillId="0" borderId="2" xfId="0" applyFont="1" applyBorder="1"/>
    <xf numFmtId="165" fontId="24" fillId="0" borderId="12" xfId="0" applyNumberFormat="1" applyFont="1" applyBorder="1"/>
    <xf numFmtId="0" fontId="9" fillId="2" borderId="5" xfId="0" applyFont="1" applyFill="1" applyBorder="1" applyAlignment="1">
      <alignment horizontal="center"/>
    </xf>
    <xf numFmtId="0" fontId="0" fillId="0" borderId="72" xfId="0" applyBorder="1"/>
    <xf numFmtId="0" fontId="0" fillId="0" borderId="71" xfId="0" applyBorder="1"/>
    <xf numFmtId="0" fontId="9" fillId="2" borderId="15" xfId="0" applyFont="1" applyFill="1" applyBorder="1" applyAlignment="1">
      <alignment horizontal="center"/>
    </xf>
    <xf numFmtId="0" fontId="53" fillId="0" borderId="10" xfId="0" applyFont="1" applyBorder="1" applyAlignment="1">
      <alignment horizontal="center"/>
    </xf>
    <xf numFmtId="0" fontId="41" fillId="0" borderId="5" xfId="0" applyFont="1" applyBorder="1"/>
    <xf numFmtId="0" fontId="0" fillId="2" borderId="5" xfId="0" applyFill="1" applyBorder="1"/>
    <xf numFmtId="0" fontId="0" fillId="0" borderId="81" xfId="0" applyBorder="1"/>
    <xf numFmtId="0" fontId="41" fillId="0" borderId="16" xfId="0" applyFont="1" applyBorder="1"/>
    <xf numFmtId="0" fontId="0" fillId="0" borderId="66" xfId="0" applyBorder="1"/>
    <xf numFmtId="0" fontId="41" fillId="0" borderId="17" xfId="0" applyFont="1" applyBorder="1"/>
    <xf numFmtId="166" fontId="23" fillId="8" borderId="12" xfId="1" applyNumberFormat="1" applyFont="1" applyFill="1" applyBorder="1" applyAlignment="1" applyProtection="1">
      <alignment horizontal="left"/>
    </xf>
    <xf numFmtId="0" fontId="41" fillId="0" borderId="1" xfId="0" applyFont="1" applyBorder="1" applyAlignment="1">
      <alignment horizontal="center" vertical="center" wrapText="1"/>
    </xf>
    <xf numFmtId="0" fontId="0" fillId="0" borderId="3" xfId="0" applyBorder="1" applyAlignment="1">
      <alignment horizontal="center" vertical="center"/>
    </xf>
    <xf numFmtId="0" fontId="15" fillId="14" borderId="1" xfId="0" applyFont="1" applyFill="1" applyBorder="1" applyAlignment="1">
      <alignment horizontal="center"/>
    </xf>
    <xf numFmtId="0" fontId="15" fillId="14" borderId="2" xfId="0" applyFont="1" applyFill="1" applyBorder="1" applyAlignment="1">
      <alignment horizontal="center"/>
    </xf>
    <xf numFmtId="0" fontId="15" fillId="14" borderId="3" xfId="0" applyFont="1" applyFill="1" applyBorder="1" applyAlignment="1">
      <alignment horizontal="center"/>
    </xf>
    <xf numFmtId="0" fontId="6" fillId="0" borderId="7" xfId="0" applyFont="1" applyBorder="1" applyAlignment="1">
      <alignment horizontal="left"/>
    </xf>
    <xf numFmtId="167" fontId="21" fillId="0" borderId="0" xfId="0" applyNumberFormat="1" applyFont="1" applyAlignment="1">
      <alignment horizontal="center"/>
    </xf>
    <xf numFmtId="0" fontId="10" fillId="0" borderId="8" xfId="0" applyFont="1" applyBorder="1" applyAlignment="1">
      <alignment horizontal="center"/>
    </xf>
    <xf numFmtId="0" fontId="8" fillId="6" borderId="1" xfId="0" applyFont="1" applyFill="1" applyBorder="1"/>
    <xf numFmtId="0" fontId="8" fillId="0" borderId="4" xfId="0" applyFont="1" applyBorder="1"/>
    <xf numFmtId="0" fontId="15" fillId="5" borderId="4" xfId="0" applyFont="1" applyFill="1" applyBorder="1" applyAlignment="1">
      <alignment horizontal="left"/>
    </xf>
    <xf numFmtId="0" fontId="0" fillId="5" borderId="6" xfId="0" applyFill="1" applyBorder="1" applyAlignment="1">
      <alignment horizontal="left"/>
    </xf>
    <xf numFmtId="0" fontId="22" fillId="6" borderId="0" xfId="0" applyFont="1" applyFill="1" applyAlignment="1">
      <alignment horizontal="center"/>
    </xf>
    <xf numFmtId="0" fontId="43" fillId="0" borderId="0" xfId="0" applyFont="1" applyAlignment="1">
      <alignment horizontal="left"/>
    </xf>
    <xf numFmtId="0" fontId="6" fillId="0" borderId="9" xfId="0" applyFont="1" applyBorder="1"/>
    <xf numFmtId="0" fontId="0" fillId="15" borderId="10" xfId="0" applyFill="1" applyBorder="1"/>
    <xf numFmtId="165" fontId="12" fillId="15" borderId="10" xfId="0" applyNumberFormat="1" applyFont="1" applyFill="1" applyBorder="1" applyAlignment="1">
      <alignment horizontal="center"/>
    </xf>
    <xf numFmtId="167" fontId="0" fillId="0" borderId="5" xfId="0" applyNumberFormat="1" applyBorder="1" applyAlignment="1">
      <alignment horizontal="center"/>
    </xf>
    <xf numFmtId="0" fontId="0" fillId="2" borderId="5" xfId="0" applyFill="1" applyBorder="1" applyAlignment="1">
      <alignment horizontal="center"/>
    </xf>
    <xf numFmtId="164" fontId="55" fillId="0" borderId="0" xfId="0" applyNumberFormat="1" applyFont="1" applyAlignment="1">
      <alignment horizontal="center"/>
    </xf>
    <xf numFmtId="0" fontId="9" fillId="3" borderId="72" xfId="0" applyFont="1" applyFill="1" applyBorder="1" applyAlignment="1" applyProtection="1">
      <alignment horizontal="center"/>
      <protection locked="0"/>
    </xf>
    <xf numFmtId="0" fontId="8" fillId="3" borderId="0" xfId="0" applyFont="1" applyFill="1" applyAlignment="1" applyProtection="1">
      <alignment horizontal="center"/>
      <protection locked="0"/>
    </xf>
    <xf numFmtId="0" fontId="22" fillId="6" borderId="13" xfId="0" applyFont="1" applyFill="1" applyBorder="1" applyAlignment="1">
      <alignment horizontal="center"/>
    </xf>
    <xf numFmtId="0" fontId="0" fillId="0" borderId="8" xfId="0" applyBorder="1" applyAlignment="1">
      <alignment horizontal="right"/>
    </xf>
    <xf numFmtId="0" fontId="15" fillId="0" borderId="12" xfId="0" applyFont="1" applyBorder="1"/>
    <xf numFmtId="0" fontId="38" fillId="6" borderId="1" xfId="0" applyFont="1" applyFill="1" applyBorder="1" applyAlignment="1">
      <alignment horizontal="center"/>
    </xf>
    <xf numFmtId="0" fontId="38" fillId="2" borderId="2" xfId="0" applyFont="1" applyFill="1" applyBorder="1" applyAlignment="1">
      <alignment horizontal="center"/>
    </xf>
    <xf numFmtId="0" fontId="38" fillId="6" borderId="3" xfId="0" applyFont="1" applyFill="1" applyBorder="1" applyAlignment="1">
      <alignment horizontal="center"/>
    </xf>
    <xf numFmtId="0" fontId="38" fillId="6" borderId="2" xfId="0" applyFont="1" applyFill="1" applyBorder="1" applyAlignment="1">
      <alignment horizontal="center"/>
    </xf>
    <xf numFmtId="0" fontId="35" fillId="6" borderId="13" xfId="0" applyFont="1" applyFill="1" applyBorder="1"/>
    <xf numFmtId="0" fontId="36" fillId="0" borderId="5" xfId="0" applyFont="1" applyBorder="1" applyAlignment="1">
      <alignment horizontal="center"/>
    </xf>
    <xf numFmtId="0" fontId="36" fillId="0" borderId="4" xfId="0" applyFont="1" applyBorder="1" applyAlignment="1">
      <alignment horizontal="center"/>
    </xf>
    <xf numFmtId="0" fontId="36" fillId="0" borderId="6" xfId="0" applyFont="1" applyBorder="1" applyAlignment="1">
      <alignment horizontal="center"/>
    </xf>
    <xf numFmtId="0" fontId="0" fillId="4" borderId="3" xfId="0" applyFill="1" applyBorder="1" applyAlignment="1">
      <alignment horizontal="center"/>
    </xf>
    <xf numFmtId="0" fontId="11" fillId="6" borderId="14" xfId="0" applyFont="1" applyFill="1" applyBorder="1"/>
    <xf numFmtId="0" fontId="37" fillId="0" borderId="0" xfId="0" applyFont="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38" fillId="12" borderId="12" xfId="0" applyFont="1" applyFill="1" applyBorder="1" applyAlignment="1">
      <alignment horizontal="center"/>
    </xf>
    <xf numFmtId="0" fontId="16" fillId="0" borderId="2" xfId="0" applyFont="1" applyBorder="1" applyAlignment="1">
      <alignment horizontal="center"/>
    </xf>
    <xf numFmtId="0" fontId="16" fillId="0" borderId="1" xfId="0" applyFont="1" applyBorder="1" applyAlignment="1">
      <alignment horizontal="center"/>
    </xf>
    <xf numFmtId="0" fontId="16" fillId="0" borderId="3" xfId="0" applyFont="1" applyBorder="1" applyAlignment="1">
      <alignment horizontal="center"/>
    </xf>
    <xf numFmtId="0" fontId="0" fillId="4" borderId="33" xfId="0" applyFill="1" applyBorder="1" applyAlignment="1">
      <alignment horizontal="center"/>
    </xf>
    <xf numFmtId="0" fontId="0" fillId="4" borderId="34" xfId="0" applyFill="1" applyBorder="1" applyAlignment="1">
      <alignment horizontal="center"/>
    </xf>
    <xf numFmtId="0" fontId="6" fillId="2" borderId="1" xfId="0" applyFont="1" applyFill="1" applyBorder="1" applyAlignment="1">
      <alignment horizontal="center"/>
    </xf>
    <xf numFmtId="0" fontId="6" fillId="6" borderId="13" xfId="0" applyFont="1" applyFill="1" applyBorder="1"/>
    <xf numFmtId="0" fontId="6" fillId="12" borderId="7" xfId="0" applyFont="1" applyFill="1" applyBorder="1" applyAlignment="1">
      <alignment horizontal="center"/>
    </xf>
    <xf numFmtId="0" fontId="6" fillId="2" borderId="0" xfId="0" applyFont="1" applyFill="1" applyAlignment="1">
      <alignment horizontal="center"/>
    </xf>
    <xf numFmtId="0" fontId="6" fillId="12" borderId="8" xfId="0" applyFont="1" applyFill="1" applyBorder="1" applyAlignment="1">
      <alignment horizontal="center"/>
    </xf>
    <xf numFmtId="0" fontId="6" fillId="12" borderId="0" xfId="0" applyFont="1" applyFill="1" applyAlignment="1">
      <alignment horizontal="center"/>
    </xf>
    <xf numFmtId="0" fontId="22" fillId="6" borderId="15" xfId="0" applyFont="1" applyFill="1" applyBorder="1" applyAlignment="1">
      <alignment horizontal="center"/>
    </xf>
    <xf numFmtId="0" fontId="6" fillId="12" borderId="12" xfId="0" applyFont="1" applyFill="1" applyBorder="1"/>
    <xf numFmtId="2" fontId="0" fillId="0" borderId="1" xfId="0" applyNumberFormat="1" applyBorder="1" applyAlignment="1">
      <alignment horizontal="center"/>
    </xf>
    <xf numFmtId="0" fontId="0" fillId="2" borderId="2" xfId="0" applyFill="1" applyBorder="1" applyAlignment="1">
      <alignment horizontal="center"/>
    </xf>
    <xf numFmtId="2" fontId="0" fillId="0" borderId="3" xfId="0" applyNumberFormat="1" applyBorder="1" applyAlignment="1">
      <alignment horizontal="center"/>
    </xf>
    <xf numFmtId="2" fontId="0" fillId="0" borderId="2" xfId="0" applyNumberFormat="1" applyBorder="1" applyAlignment="1">
      <alignment horizontal="center"/>
    </xf>
    <xf numFmtId="0" fontId="6" fillId="12" borderId="14" xfId="0" applyFont="1" applyFill="1" applyBorder="1"/>
    <xf numFmtId="2" fontId="0" fillId="0" borderId="7" xfId="0" applyNumberFormat="1" applyBorder="1" applyAlignment="1">
      <alignment horizontal="center"/>
    </xf>
    <xf numFmtId="0" fontId="0" fillId="12" borderId="15" xfId="0" applyFill="1" applyBorder="1"/>
    <xf numFmtId="2" fontId="0" fillId="0" borderId="11" xfId="0" applyNumberFormat="1" applyBorder="1" applyAlignment="1">
      <alignment horizontal="center"/>
    </xf>
    <xf numFmtId="2" fontId="0" fillId="0" borderId="9" xfId="0" applyNumberFormat="1" applyBorder="1" applyAlignment="1">
      <alignment horizontal="center"/>
    </xf>
    <xf numFmtId="0" fontId="6" fillId="12" borderId="15" xfId="0" applyFont="1" applyFill="1" applyBorder="1"/>
    <xf numFmtId="0" fontId="15" fillId="0" borderId="36" xfId="0" applyFont="1" applyBorder="1" applyAlignment="1">
      <alignment horizontal="center"/>
    </xf>
    <xf numFmtId="0" fontId="15" fillId="0" borderId="37" xfId="0" applyFont="1" applyBorder="1" applyAlignment="1">
      <alignment horizontal="center"/>
    </xf>
    <xf numFmtId="165" fontId="24" fillId="17" borderId="15" xfId="0" applyNumberFormat="1" applyFont="1" applyFill="1" applyBorder="1" applyAlignment="1">
      <alignment horizontal="center" vertical="center"/>
    </xf>
    <xf numFmtId="0" fontId="25" fillId="17" borderId="36" xfId="0" applyFont="1" applyFill="1" applyBorder="1" applyAlignment="1">
      <alignment horizontal="center" vertical="center"/>
    </xf>
    <xf numFmtId="0" fontId="6" fillId="17" borderId="1" xfId="0" applyFont="1" applyFill="1" applyBorder="1" applyAlignment="1">
      <alignment horizontal="left"/>
    </xf>
    <xf numFmtId="0" fontId="15" fillId="17" borderId="2" xfId="0" applyFont="1" applyFill="1" applyBorder="1" applyAlignment="1">
      <alignment horizontal="center"/>
    </xf>
    <xf numFmtId="0" fontId="21" fillId="0" borderId="0" xfId="0" applyFont="1" applyAlignment="1">
      <alignment horizontal="center"/>
    </xf>
    <xf numFmtId="165" fontId="22" fillId="0" borderId="0" xfId="0" applyNumberFormat="1" applyFont="1" applyAlignment="1">
      <alignment horizontal="center"/>
    </xf>
    <xf numFmtId="0" fontId="15" fillId="0" borderId="10" xfId="0" applyFont="1" applyBorder="1" applyAlignment="1">
      <alignment horizontal="center"/>
    </xf>
    <xf numFmtId="166" fontId="24" fillId="0" borderId="12" xfId="1" applyNumberFormat="1" applyFont="1" applyBorder="1" applyProtection="1"/>
    <xf numFmtId="164" fontId="55" fillId="0" borderId="5" xfId="0" applyNumberFormat="1" applyFont="1" applyBorder="1" applyAlignment="1">
      <alignment horizontal="center"/>
    </xf>
    <xf numFmtId="164" fontId="55" fillId="0" borderId="5" xfId="0" applyNumberFormat="1" applyFont="1" applyBorder="1"/>
    <xf numFmtId="164" fontId="55" fillId="0" borderId="0" xfId="0" applyNumberFormat="1" applyFont="1"/>
    <xf numFmtId="164" fontId="55" fillId="0" borderId="10" xfId="0" applyNumberFormat="1" applyFont="1" applyBorder="1" applyAlignment="1">
      <alignment horizontal="center"/>
    </xf>
    <xf numFmtId="164" fontId="55" fillId="0" borderId="10" xfId="0" applyNumberFormat="1" applyFont="1" applyBorder="1"/>
    <xf numFmtId="0" fontId="0" fillId="5" borderId="1" xfId="0" applyFill="1" applyBorder="1"/>
    <xf numFmtId="0" fontId="0" fillId="5" borderId="2" xfId="0" applyFill="1" applyBorder="1"/>
    <xf numFmtId="0" fontId="0" fillId="5" borderId="3" xfId="0" applyFill="1" applyBorder="1"/>
    <xf numFmtId="166" fontId="23" fillId="0" borderId="12" xfId="1" applyNumberFormat="1" applyFont="1" applyFill="1" applyBorder="1" applyAlignment="1" applyProtection="1">
      <alignment horizontal="left" vertical="center"/>
    </xf>
    <xf numFmtId="0" fontId="10" fillId="0" borderId="2" xfId="0" applyFont="1" applyBorder="1" applyAlignment="1">
      <alignment horizontal="left"/>
    </xf>
    <xf numFmtId="166" fontId="23" fillId="0" borderId="12" xfId="1" applyNumberFormat="1" applyFont="1" applyBorder="1" applyAlignment="1" applyProtection="1">
      <alignment horizontal="left"/>
    </xf>
    <xf numFmtId="164" fontId="0" fillId="0" borderId="13" xfId="0" applyNumberFormat="1" applyBorder="1" applyAlignment="1">
      <alignment horizontal="center"/>
    </xf>
    <xf numFmtId="0" fontId="40" fillId="0" borderId="12" xfId="0" applyFont="1" applyBorder="1" applyAlignment="1">
      <alignment horizontal="left" vertical="center"/>
    </xf>
    <xf numFmtId="164" fontId="30" fillId="0" borderId="0" xfId="0" applyNumberFormat="1" applyFont="1" applyAlignment="1">
      <alignment horizontal="center"/>
    </xf>
    <xf numFmtId="0" fontId="0" fillId="5" borderId="4" xfId="0" applyFill="1" applyBorder="1"/>
    <xf numFmtId="0" fontId="0" fillId="5" borderId="5" xfId="0" applyFill="1" applyBorder="1"/>
    <xf numFmtId="164" fontId="0" fillId="0" borderId="14" xfId="0" applyNumberFormat="1" applyBorder="1" applyAlignment="1">
      <alignment horizontal="center"/>
    </xf>
    <xf numFmtId="1" fontId="82" fillId="0" borderId="0" xfId="0" applyNumberFormat="1" applyFont="1" applyAlignment="1">
      <alignment horizontal="center"/>
    </xf>
    <xf numFmtId="1" fontId="82" fillId="0" borderId="7" xfId="0" applyNumberFormat="1" applyFont="1" applyBorder="1" applyAlignment="1">
      <alignment horizontal="center"/>
    </xf>
    <xf numFmtId="164" fontId="55" fillId="0" borderId="8" xfId="0" applyNumberFormat="1" applyFont="1" applyBorder="1" applyAlignment="1">
      <alignment horizontal="center"/>
    </xf>
    <xf numFmtId="0" fontId="0" fillId="5" borderId="9" xfId="0" applyFill="1" applyBorder="1"/>
    <xf numFmtId="0" fontId="0" fillId="5" borderId="10" xfId="0" applyFill="1" applyBorder="1"/>
    <xf numFmtId="0" fontId="0" fillId="5" borderId="11" xfId="0" applyFill="1" applyBorder="1" applyAlignment="1">
      <alignment horizontal="left"/>
    </xf>
    <xf numFmtId="164" fontId="55" fillId="0" borderId="0" xfId="0" applyNumberFormat="1" applyFont="1" applyAlignment="1">
      <alignment horizontal="left"/>
    </xf>
    <xf numFmtId="164" fontId="20" fillId="0" borderId="0" xfId="0" applyNumberFormat="1" applyFont="1" applyAlignment="1">
      <alignment horizontal="center"/>
    </xf>
    <xf numFmtId="164" fontId="0" fillId="0" borderId="15" xfId="0" applyNumberFormat="1" applyBorder="1" applyAlignment="1">
      <alignment horizontal="center"/>
    </xf>
    <xf numFmtId="1" fontId="82" fillId="0" borderId="10" xfId="0" applyNumberFormat="1" applyFont="1" applyBorder="1" applyAlignment="1">
      <alignment horizontal="center"/>
    </xf>
    <xf numFmtId="1" fontId="82" fillId="0" borderId="9" xfId="0" applyNumberFormat="1" applyFont="1" applyBorder="1" applyAlignment="1">
      <alignment horizontal="center"/>
    </xf>
    <xf numFmtId="0" fontId="30" fillId="0" borderId="11" xfId="0" applyFont="1" applyBorder="1"/>
    <xf numFmtId="168" fontId="0" fillId="0" borderId="0" xfId="0" applyNumberFormat="1"/>
    <xf numFmtId="0" fontId="26" fillId="5" borderId="4" xfId="0" applyFont="1" applyFill="1" applyBorder="1"/>
    <xf numFmtId="0" fontId="26" fillId="5" borderId="6" xfId="0" applyFont="1" applyFill="1" applyBorder="1"/>
    <xf numFmtId="164" fontId="15" fillId="3" borderId="8" xfId="0" applyNumberFormat="1" applyFont="1" applyFill="1" applyBorder="1"/>
    <xf numFmtId="164" fontId="0" fillId="0" borderId="11" xfId="0" applyNumberFormat="1" applyBorder="1"/>
    <xf numFmtId="0" fontId="38" fillId="3" borderId="1" xfId="0" applyFont="1" applyFill="1" applyBorder="1"/>
    <xf numFmtId="0" fontId="9" fillId="0" borderId="1" xfId="0" applyFont="1" applyBorder="1" applyAlignment="1">
      <alignment horizontal="center"/>
    </xf>
    <xf numFmtId="0" fontId="9" fillId="0" borderId="3" xfId="0" applyFont="1" applyBorder="1" applyAlignment="1">
      <alignment horizontal="center"/>
    </xf>
    <xf numFmtId="0" fontId="21" fillId="0" borderId="4" xfId="0" applyFont="1" applyBorder="1"/>
    <xf numFmtId="0" fontId="18" fillId="0" borderId="5" xfId="0" applyFont="1" applyBorder="1" applyAlignment="1">
      <alignment horizontal="center"/>
    </xf>
    <xf numFmtId="0" fontId="21" fillId="5" borderId="13" xfId="0" applyFont="1" applyFill="1" applyBorder="1"/>
    <xf numFmtId="0" fontId="6" fillId="4" borderId="0" xfId="0" applyFont="1" applyFill="1"/>
    <xf numFmtId="1" fontId="0" fillId="0" borderId="8" xfId="0" applyNumberFormat="1" applyBorder="1"/>
    <xf numFmtId="0" fontId="21" fillId="5" borderId="15" xfId="0" applyFont="1" applyFill="1" applyBorder="1"/>
    <xf numFmtId="0" fontId="11" fillId="9" borderId="4" xfId="0" applyFont="1" applyFill="1" applyBorder="1"/>
    <xf numFmtId="165" fontId="12" fillId="9" borderId="5" xfId="0" applyNumberFormat="1" applyFont="1" applyFill="1" applyBorder="1" applyAlignment="1">
      <alignment horizontal="center"/>
    </xf>
    <xf numFmtId="0" fontId="14" fillId="9" borderId="5" xfId="0" applyFont="1" applyFill="1" applyBorder="1"/>
    <xf numFmtId="0" fontId="11" fillId="9" borderId="7" xfId="0" applyFont="1" applyFill="1" applyBorder="1"/>
    <xf numFmtId="165" fontId="12" fillId="9" borderId="0" xfId="0" applyNumberFormat="1" applyFont="1" applyFill="1" applyAlignment="1">
      <alignment horizontal="center"/>
    </xf>
    <xf numFmtId="0" fontId="14" fillId="9" borderId="0" xfId="0" applyFont="1" applyFill="1"/>
    <xf numFmtId="0" fontId="0" fillId="4" borderId="2" xfId="0" applyFill="1" applyBorder="1" applyAlignment="1">
      <alignment horizontal="center"/>
    </xf>
    <xf numFmtId="0" fontId="6" fillId="4" borderId="0" xfId="0" applyFont="1" applyFill="1" applyAlignment="1">
      <alignment horizontal="center"/>
    </xf>
    <xf numFmtId="0" fontId="6" fillId="4" borderId="0" xfId="0" applyFont="1" applyFill="1" applyAlignment="1">
      <alignment horizontal="left"/>
    </xf>
    <xf numFmtId="164" fontId="26" fillId="0" borderId="5" xfId="0" applyNumberFormat="1" applyFont="1" applyBorder="1" applyAlignment="1">
      <alignment horizontal="center"/>
    </xf>
    <xf numFmtId="1" fontId="75" fillId="0" borderId="5" xfId="0" applyNumberFormat="1" applyFont="1" applyBorder="1" applyAlignment="1">
      <alignment horizontal="center"/>
    </xf>
    <xf numFmtId="165" fontId="7" fillId="0" borderId="0" xfId="0" applyNumberFormat="1" applyFont="1" applyAlignment="1">
      <alignment horizontal="center"/>
    </xf>
    <xf numFmtId="0" fontId="11" fillId="0" borderId="0" xfId="0" applyFont="1"/>
    <xf numFmtId="164" fontId="26" fillId="0" borderId="0" xfId="0" applyNumberFormat="1" applyFont="1" applyAlignment="1">
      <alignment horizontal="center"/>
    </xf>
    <xf numFmtId="1" fontId="75" fillId="0" borderId="0" xfId="0" applyNumberFormat="1" applyFont="1" applyAlignment="1">
      <alignment horizontal="center"/>
    </xf>
    <xf numFmtId="164" fontId="26" fillId="0" borderId="0" xfId="0" applyNumberFormat="1" applyFont="1"/>
    <xf numFmtId="165" fontId="34" fillId="0" borderId="0" xfId="0" applyNumberFormat="1" applyFont="1" applyAlignment="1">
      <alignment horizontal="center"/>
    </xf>
    <xf numFmtId="0" fontId="6" fillId="0" borderId="12" xfId="0" applyFont="1" applyBorder="1"/>
    <xf numFmtId="164" fontId="0" fillId="0" borderId="5" xfId="0" applyNumberFormat="1" applyBorder="1"/>
    <xf numFmtId="2" fontId="7" fillId="12" borderId="2" xfId="0" applyNumberFormat="1" applyFont="1" applyFill="1" applyBorder="1" applyAlignment="1">
      <alignment horizontal="center"/>
    </xf>
    <xf numFmtId="165" fontId="33" fillId="0" borderId="0" xfId="0" applyNumberFormat="1" applyFont="1" applyAlignment="1">
      <alignment horizontal="center"/>
    </xf>
    <xf numFmtId="2" fontId="33" fillId="0" borderId="0" xfId="0" applyNumberFormat="1" applyFont="1" applyAlignment="1">
      <alignment horizontal="center"/>
    </xf>
    <xf numFmtId="2" fontId="33" fillId="0" borderId="8" xfId="0" applyNumberFormat="1" applyFont="1" applyBorder="1" applyAlignment="1">
      <alignment horizontal="center"/>
    </xf>
    <xf numFmtId="0" fontId="6" fillId="0" borderId="7" xfId="0" applyFont="1" applyBorder="1"/>
    <xf numFmtId="164" fontId="0" fillId="0" borderId="4" xfId="0" applyNumberFormat="1" applyBorder="1"/>
    <xf numFmtId="1" fontId="0" fillId="0" borderId="5" xfId="0" applyNumberFormat="1" applyBorder="1"/>
    <xf numFmtId="164" fontId="0" fillId="0" borderId="7" xfId="0" applyNumberFormat="1" applyBorder="1"/>
    <xf numFmtId="0" fontId="0" fillId="4" borderId="1" xfId="0" applyFill="1" applyBorder="1"/>
    <xf numFmtId="2" fontId="15" fillId="4" borderId="12" xfId="0" applyNumberFormat="1" applyFont="1" applyFill="1" applyBorder="1" applyAlignment="1">
      <alignment horizontal="center"/>
    </xf>
    <xf numFmtId="0" fontId="0" fillId="4" borderId="2" xfId="0" applyFill="1" applyBorder="1"/>
    <xf numFmtId="0" fontId="0" fillId="4" borderId="3" xfId="0" applyFill="1" applyBorder="1"/>
    <xf numFmtId="164" fontId="0" fillId="0" borderId="9" xfId="0" applyNumberFormat="1" applyBorder="1"/>
    <xf numFmtId="0" fontId="0" fillId="0" borderId="10" xfId="0" applyBorder="1" applyAlignment="1">
      <alignment horizontal="left"/>
    </xf>
    <xf numFmtId="166" fontId="27" fillId="0" borderId="0" xfId="1" applyNumberFormat="1" applyFont="1" applyFill="1" applyBorder="1" applyAlignment="1" applyProtection="1">
      <alignment horizontal="left"/>
    </xf>
    <xf numFmtId="2" fontId="41" fillId="0" borderId="0" xfId="0" applyNumberFormat="1" applyFont="1" applyAlignment="1">
      <alignment horizontal="center"/>
    </xf>
    <xf numFmtId="166" fontId="27" fillId="0" borderId="0" xfId="1" applyNumberFormat="1" applyFont="1" applyFill="1" applyBorder="1" applyAlignment="1" applyProtection="1">
      <alignment horizontal="center"/>
    </xf>
    <xf numFmtId="0" fontId="41" fillId="0" borderId="8" xfId="0" applyFont="1" applyBorder="1"/>
    <xf numFmtId="166" fontId="0" fillId="0" borderId="0" xfId="1" applyNumberFormat="1" applyFont="1" applyBorder="1" applyAlignment="1" applyProtection="1">
      <alignment horizontal="left"/>
    </xf>
    <xf numFmtId="166" fontId="0" fillId="0" borderId="0" xfId="1" applyNumberFormat="1" applyFont="1" applyBorder="1" applyAlignment="1" applyProtection="1">
      <alignment horizontal="center"/>
    </xf>
    <xf numFmtId="0" fontId="0" fillId="0" borderId="1" xfId="0" applyBorder="1" applyAlignment="1">
      <alignment horizontal="right"/>
    </xf>
    <xf numFmtId="0" fontId="0" fillId="0" borderId="2" xfId="0" applyBorder="1" applyAlignment="1">
      <alignment horizontal="center"/>
    </xf>
    <xf numFmtId="16" fontId="0" fillId="0" borderId="4" xfId="0" applyNumberFormat="1" applyBorder="1" applyAlignment="1">
      <alignment horizontal="right"/>
    </xf>
    <xf numFmtId="0" fontId="0" fillId="0" borderId="9" xfId="0" applyBorder="1" applyAlignment="1">
      <alignment horizontal="right"/>
    </xf>
    <xf numFmtId="167" fontId="0" fillId="0" borderId="11" xfId="0" applyNumberFormat="1" applyBorder="1" applyAlignment="1">
      <alignment horizontal="center"/>
    </xf>
    <xf numFmtId="166" fontId="0" fillId="0" borderId="10" xfId="1" applyNumberFormat="1" applyFont="1" applyBorder="1" applyAlignment="1" applyProtection="1">
      <alignment horizontal="left"/>
    </xf>
    <xf numFmtId="2" fontId="41" fillId="0" borderId="10" xfId="0" applyNumberFormat="1" applyFont="1" applyBorder="1" applyAlignment="1">
      <alignment horizontal="center"/>
    </xf>
    <xf numFmtId="166" fontId="0" fillId="0" borderId="10" xfId="1" applyNumberFormat="1" applyFont="1" applyBorder="1" applyAlignment="1" applyProtection="1">
      <alignment horizontal="center"/>
    </xf>
    <xf numFmtId="0" fontId="41" fillId="0" borderId="11" xfId="0" applyFont="1" applyBorder="1"/>
    <xf numFmtId="0" fontId="6" fillId="0" borderId="0" xfId="0" applyFont="1" applyAlignment="1">
      <alignment vertical="center"/>
    </xf>
    <xf numFmtId="0" fontId="9" fillId="3" borderId="3" xfId="0" applyFont="1" applyFill="1" applyBorder="1" applyAlignment="1" applyProtection="1">
      <alignment horizontal="center"/>
      <protection locked="0"/>
    </xf>
    <xf numFmtId="0" fontId="8" fillId="3" borderId="14" xfId="0" applyFont="1" applyFill="1" applyBorder="1" applyAlignment="1" applyProtection="1">
      <alignment horizontal="center"/>
      <protection locked="0"/>
    </xf>
    <xf numFmtId="0" fontId="8" fillId="0" borderId="8" xfId="0" applyFont="1" applyBorder="1" applyAlignment="1">
      <alignment horizontal="center"/>
    </xf>
    <xf numFmtId="0" fontId="22" fillId="6" borderId="6" xfId="0" applyFont="1" applyFill="1" applyBorder="1" applyAlignment="1">
      <alignment horizontal="center"/>
    </xf>
    <xf numFmtId="0" fontId="21" fillId="6" borderId="8" xfId="0" applyFont="1" applyFill="1" applyBorder="1" applyAlignment="1">
      <alignment horizontal="center"/>
    </xf>
    <xf numFmtId="0" fontId="22" fillId="12" borderId="2" xfId="0" applyFont="1" applyFill="1" applyBorder="1" applyAlignment="1">
      <alignment horizontal="center"/>
    </xf>
    <xf numFmtId="0" fontId="29" fillId="18" borderId="38" xfId="0" applyFont="1" applyFill="1" applyBorder="1" applyAlignment="1">
      <alignment horizontal="center" vertical="center" wrapText="1"/>
    </xf>
    <xf numFmtId="0" fontId="29" fillId="18" borderId="39" xfId="0" applyFont="1" applyFill="1" applyBorder="1" applyAlignment="1">
      <alignment horizontal="center" vertical="center" wrapText="1"/>
    </xf>
    <xf numFmtId="0" fontId="6" fillId="0" borderId="29" xfId="0" applyFont="1" applyBorder="1"/>
    <xf numFmtId="0" fontId="6"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6" fillId="0" borderId="18" xfId="0" applyFont="1" applyBorder="1" applyAlignment="1">
      <alignment horizontal="center"/>
    </xf>
    <xf numFmtId="0" fontId="15" fillId="0" borderId="19" xfId="0" applyFont="1" applyBorder="1" applyAlignment="1">
      <alignment horizontal="center"/>
    </xf>
    <xf numFmtId="0" fontId="6" fillId="0" borderId="20" xfId="0" applyFont="1" applyBorder="1" applyAlignment="1">
      <alignment horizontal="center"/>
    </xf>
    <xf numFmtId="0" fontId="6" fillId="0" borderId="44" xfId="0" applyFont="1" applyBorder="1" applyAlignment="1">
      <alignment horizontal="center" vertical="center" wrapText="1"/>
    </xf>
    <xf numFmtId="0" fontId="27" fillId="0" borderId="45" xfId="0" applyFont="1" applyBorder="1" applyAlignment="1">
      <alignment horizontal="center" vertical="center" wrapText="1"/>
    </xf>
    <xf numFmtId="0" fontId="15" fillId="0" borderId="46" xfId="0" applyFont="1" applyBorder="1" applyAlignment="1">
      <alignment horizontal="center"/>
    </xf>
    <xf numFmtId="0" fontId="15" fillId="6" borderId="12" xfId="0" applyFont="1" applyFill="1" applyBorder="1"/>
    <xf numFmtId="165" fontId="15" fillId="6" borderId="12" xfId="0" applyNumberFormat="1" applyFont="1" applyFill="1" applyBorder="1" applyAlignment="1">
      <alignment horizontal="center"/>
    </xf>
    <xf numFmtId="165" fontId="7" fillId="6" borderId="17" xfId="0" applyNumberFormat="1" applyFont="1" applyFill="1" applyBorder="1"/>
    <xf numFmtId="0" fontId="39" fillId="6" borderId="47" xfId="0" applyFont="1" applyFill="1" applyBorder="1" applyAlignment="1">
      <alignment horizontal="center"/>
    </xf>
    <xf numFmtId="165" fontId="7" fillId="6" borderId="0" xfId="0" applyNumberFormat="1" applyFont="1" applyFill="1"/>
    <xf numFmtId="0" fontId="39" fillId="6" borderId="8" xfId="0" applyFont="1" applyFill="1" applyBorder="1" applyAlignment="1">
      <alignment horizontal="center"/>
    </xf>
    <xf numFmtId="0" fontId="21" fillId="6" borderId="11" xfId="0" applyFont="1" applyFill="1" applyBorder="1" applyAlignment="1">
      <alignment horizontal="center"/>
    </xf>
    <xf numFmtId="0" fontId="28" fillId="10" borderId="38" xfId="0" applyFont="1" applyFill="1" applyBorder="1" applyAlignment="1">
      <alignment horizontal="center"/>
    </xf>
    <xf numFmtId="0" fontId="28" fillId="10" borderId="30" xfId="0" applyFont="1" applyFill="1" applyBorder="1" applyAlignment="1">
      <alignment horizontal="center"/>
    </xf>
    <xf numFmtId="2" fontId="7" fillId="0" borderId="0" xfId="0" applyNumberFormat="1" applyFont="1"/>
    <xf numFmtId="0" fontId="0" fillId="0" borderId="48" xfId="0" applyBorder="1" applyAlignment="1">
      <alignment horizontal="center"/>
    </xf>
    <xf numFmtId="0" fontId="6" fillId="0" borderId="49" xfId="0" applyFont="1" applyBorder="1" applyAlignment="1">
      <alignment horizontal="center"/>
    </xf>
    <xf numFmtId="0" fontId="26" fillId="0" borderId="9" xfId="0" applyFont="1" applyBorder="1"/>
    <xf numFmtId="2" fontId="7" fillId="0" borderId="10" xfId="0" applyNumberFormat="1" applyFont="1" applyBorder="1"/>
    <xf numFmtId="0" fontId="31" fillId="0" borderId="11" xfId="0" applyFont="1" applyBorder="1" applyAlignment="1">
      <alignment horizontal="center"/>
    </xf>
    <xf numFmtId="0" fontId="0" fillId="0" borderId="50" xfId="0" applyBorder="1" applyAlignment="1">
      <alignment horizontal="center"/>
    </xf>
    <xf numFmtId="0" fontId="6" fillId="0" borderId="51" xfId="0" applyFont="1" applyBorder="1" applyAlignment="1">
      <alignment horizontal="center"/>
    </xf>
    <xf numFmtId="0" fontId="22" fillId="7" borderId="0" xfId="0" applyFont="1" applyFill="1" applyAlignment="1">
      <alignment horizontal="center"/>
    </xf>
    <xf numFmtId="0" fontId="9" fillId="7" borderId="0" xfId="0" applyFont="1" applyFill="1" applyAlignment="1">
      <alignment horizontal="center"/>
    </xf>
    <xf numFmtId="0" fontId="0" fillId="0" borderId="52" xfId="0" applyBorder="1" applyAlignment="1">
      <alignment horizontal="center"/>
    </xf>
    <xf numFmtId="0" fontId="6" fillId="0" borderId="53" xfId="0" applyFont="1" applyBorder="1" applyAlignment="1">
      <alignment horizontal="center"/>
    </xf>
    <xf numFmtId="0" fontId="7" fillId="6" borderId="5" xfId="0" applyFont="1" applyFill="1" applyBorder="1" applyAlignment="1">
      <alignment horizontal="center"/>
    </xf>
    <xf numFmtId="0" fontId="0" fillId="6" borderId="6" xfId="0" applyFill="1" applyBorder="1"/>
    <xf numFmtId="0" fontId="15" fillId="6" borderId="9" xfId="0" applyFont="1" applyFill="1" applyBorder="1"/>
    <xf numFmtId="0" fontId="24" fillId="6" borderId="11" xfId="0" applyFont="1" applyFill="1" applyBorder="1"/>
    <xf numFmtId="0" fontId="15" fillId="11" borderId="9" xfId="0" applyFont="1" applyFill="1" applyBorder="1" applyAlignment="1">
      <alignment horizontal="center"/>
    </xf>
    <xf numFmtId="0" fontId="86" fillId="6" borderId="9" xfId="0" applyFont="1" applyFill="1" applyBorder="1" applyAlignment="1">
      <alignment horizontal="center"/>
    </xf>
    <xf numFmtId="1" fontId="32" fillId="0" borderId="5" xfId="0" applyNumberFormat="1" applyFont="1" applyBorder="1" applyAlignment="1">
      <alignment horizontal="center"/>
    </xf>
    <xf numFmtId="0" fontId="32" fillId="0" borderId="5" xfId="0" applyFont="1" applyBorder="1" applyAlignment="1">
      <alignment horizontal="center"/>
    </xf>
    <xf numFmtId="0" fontId="9" fillId="5" borderId="13" xfId="0" applyFont="1" applyFill="1" applyBorder="1" applyAlignment="1">
      <alignment horizontal="center"/>
    </xf>
    <xf numFmtId="0" fontId="32" fillId="0" borderId="0" xfId="0" applyFont="1" applyAlignment="1">
      <alignment horizontal="center"/>
    </xf>
    <xf numFmtId="1" fontId="32" fillId="0" borderId="0" xfId="0" applyNumberFormat="1" applyFont="1" applyAlignment="1">
      <alignment horizontal="center"/>
    </xf>
    <xf numFmtId="0" fontId="9" fillId="5" borderId="14" xfId="0" applyFont="1" applyFill="1" applyBorder="1" applyAlignment="1">
      <alignment horizontal="center"/>
    </xf>
    <xf numFmtId="0" fontId="9" fillId="5" borderId="15" xfId="0" applyFont="1" applyFill="1" applyBorder="1" applyAlignment="1">
      <alignment horizontal="center"/>
    </xf>
    <xf numFmtId="0" fontId="21" fillId="0" borderId="10" xfId="0" applyFont="1" applyBorder="1" applyAlignment="1">
      <alignment horizontal="center"/>
    </xf>
    <xf numFmtId="0" fontId="32" fillId="0" borderId="10" xfId="0" applyFont="1" applyBorder="1" applyAlignment="1">
      <alignment horizontal="center"/>
    </xf>
    <xf numFmtId="0" fontId="9" fillId="5" borderId="13" xfId="0" applyFont="1" applyFill="1" applyBorder="1"/>
    <xf numFmtId="0" fontId="9" fillId="5" borderId="14" xfId="0" applyFont="1" applyFill="1" applyBorder="1"/>
    <xf numFmtId="0" fontId="9" fillId="5" borderId="15" xfId="0" applyFont="1" applyFill="1" applyBorder="1"/>
    <xf numFmtId="164" fontId="9" fillId="2" borderId="0" xfId="0" applyNumberFormat="1" applyFont="1" applyFill="1" applyAlignment="1">
      <alignment horizontal="center"/>
    </xf>
    <xf numFmtId="167" fontId="0" fillId="0" borderId="0" xfId="0" applyNumberFormat="1"/>
    <xf numFmtId="164" fontId="0" fillId="0" borderId="2" xfId="0" applyNumberFormat="1" applyBorder="1" applyAlignment="1">
      <alignment horizontal="center"/>
    </xf>
    <xf numFmtId="0" fontId="7" fillId="4" borderId="1" xfId="0" applyFont="1" applyFill="1" applyBorder="1" applyAlignment="1">
      <alignment horizontal="left" indent="5"/>
    </xf>
    <xf numFmtId="0" fontId="15" fillId="11" borderId="1" xfId="0" applyFont="1" applyFill="1" applyBorder="1" applyAlignment="1">
      <alignment horizontal="center"/>
    </xf>
    <xf numFmtId="0" fontId="86" fillId="12" borderId="12" xfId="0" applyFont="1" applyFill="1" applyBorder="1" applyAlignment="1">
      <alignment horizontal="center"/>
    </xf>
    <xf numFmtId="0" fontId="15" fillId="0" borderId="31" xfId="0" applyFont="1" applyBorder="1" applyAlignment="1">
      <alignment horizontal="left"/>
    </xf>
    <xf numFmtId="2" fontId="15" fillId="0" borderId="54" xfId="0" applyNumberFormat="1" applyFont="1" applyBorder="1" applyAlignment="1">
      <alignment horizontal="center"/>
    </xf>
    <xf numFmtId="0" fontId="15" fillId="0" borderId="54" xfId="0" applyFont="1" applyBorder="1" applyAlignment="1">
      <alignment horizontal="center"/>
    </xf>
    <xf numFmtId="0" fontId="15" fillId="0" borderId="32" xfId="0" applyFont="1" applyBorder="1" applyAlignment="1">
      <alignment horizontal="center"/>
    </xf>
    <xf numFmtId="1" fontId="26" fillId="0" borderId="0" xfId="0" applyNumberFormat="1" applyFont="1" applyAlignment="1">
      <alignment horizontal="center"/>
    </xf>
    <xf numFmtId="0" fontId="22" fillId="6" borderId="5" xfId="0" applyFont="1" applyFill="1" applyBorder="1" applyAlignment="1">
      <alignment horizontal="center"/>
    </xf>
    <xf numFmtId="0" fontId="12" fillId="15" borderId="5" xfId="0" applyFont="1" applyFill="1" applyBorder="1" applyAlignment="1">
      <alignment horizontal="center"/>
    </xf>
    <xf numFmtId="0" fontId="11" fillId="15" borderId="5" xfId="0" applyFont="1" applyFill="1" applyBorder="1"/>
    <xf numFmtId="0" fontId="12" fillId="15" borderId="0" xfId="0" applyFont="1" applyFill="1" applyAlignment="1">
      <alignment horizontal="center"/>
    </xf>
    <xf numFmtId="0" fontId="11" fillId="15" borderId="0" xfId="0" applyFont="1" applyFill="1"/>
    <xf numFmtId="0" fontId="11" fillId="2" borderId="0" xfId="0" applyFont="1" applyFill="1"/>
    <xf numFmtId="1" fontId="12" fillId="15" borderId="0" xfId="0" applyNumberFormat="1" applyFont="1" applyFill="1" applyAlignment="1">
      <alignment horizontal="center"/>
    </xf>
    <xf numFmtId="164" fontId="0" fillId="0" borderId="11" xfId="0" applyNumberFormat="1" applyBorder="1" applyAlignment="1">
      <alignment horizontal="center"/>
    </xf>
    <xf numFmtId="0" fontId="11" fillId="2" borderId="10" xfId="0" applyFont="1" applyFill="1" applyBorder="1"/>
    <xf numFmtId="0" fontId="12" fillId="2" borderId="0" xfId="0" applyFont="1" applyFill="1" applyAlignment="1">
      <alignment horizontal="center"/>
    </xf>
    <xf numFmtId="0" fontId="11" fillId="15" borderId="9" xfId="0" applyFont="1" applyFill="1" applyBorder="1"/>
    <xf numFmtId="0" fontId="11" fillId="15" borderId="10" xfId="0" applyFont="1" applyFill="1" applyBorder="1" applyAlignment="1">
      <alignment horizontal="center"/>
    </xf>
    <xf numFmtId="0" fontId="11" fillId="15" borderId="10" xfId="0" applyFont="1" applyFill="1" applyBorder="1"/>
    <xf numFmtId="0" fontId="12" fillId="2" borderId="10" xfId="0" applyFont="1" applyFill="1" applyBorder="1" applyAlignment="1">
      <alignment horizontal="center"/>
    </xf>
    <xf numFmtId="0" fontId="12" fillId="15" borderId="10" xfId="0" applyFont="1" applyFill="1" applyBorder="1" applyAlignment="1">
      <alignment horizontal="center"/>
    </xf>
    <xf numFmtId="0" fontId="7" fillId="4" borderId="1" xfId="0" applyFont="1" applyFill="1" applyBorder="1" applyAlignment="1">
      <alignment horizontal="left" indent="27"/>
    </xf>
    <xf numFmtId="0" fontId="15" fillId="11" borderId="15" xfId="0" applyFont="1" applyFill="1" applyBorder="1" applyAlignment="1">
      <alignment horizontal="center"/>
    </xf>
    <xf numFmtId="0" fontId="86" fillId="12" borderId="15" xfId="0" applyFont="1" applyFill="1" applyBorder="1" applyAlignment="1">
      <alignment horizontal="center"/>
    </xf>
    <xf numFmtId="164" fontId="32" fillId="0" borderId="0" xfId="0" applyNumberFormat="1" applyFont="1" applyAlignment="1">
      <alignment horizontal="center"/>
    </xf>
    <xf numFmtId="2" fontId="9" fillId="2" borderId="0" xfId="0" applyNumberFormat="1" applyFont="1" applyFill="1" applyAlignment="1">
      <alignment horizontal="center"/>
    </xf>
    <xf numFmtId="2" fontId="32" fillId="0" borderId="0" xfId="0" applyNumberFormat="1" applyFont="1" applyAlignment="1">
      <alignment horizontal="center"/>
    </xf>
    <xf numFmtId="2" fontId="9" fillId="2" borderId="10" xfId="0" applyNumberFormat="1" applyFont="1" applyFill="1" applyBorder="1" applyAlignment="1">
      <alignment horizontal="center"/>
    </xf>
    <xf numFmtId="2" fontId="22" fillId="2" borderId="10" xfId="0" applyNumberFormat="1" applyFont="1" applyFill="1" applyBorder="1" applyAlignment="1">
      <alignment horizontal="center"/>
    </xf>
    <xf numFmtId="0" fontId="15" fillId="14" borderId="9" xfId="0" applyFont="1" applyFill="1" applyBorder="1"/>
    <xf numFmtId="2" fontId="15" fillId="14" borderId="10" xfId="0" applyNumberFormat="1" applyFont="1" applyFill="1" applyBorder="1" applyAlignment="1">
      <alignment horizontal="center"/>
    </xf>
    <xf numFmtId="0" fontId="15" fillId="14" borderId="11" xfId="0" applyFont="1" applyFill="1" applyBorder="1" applyAlignment="1">
      <alignment horizontal="center"/>
    </xf>
    <xf numFmtId="0" fontId="0" fillId="0" borderId="2" xfId="0" applyBorder="1" applyAlignment="1">
      <alignment horizontal="center" vertical="center"/>
    </xf>
    <xf numFmtId="0" fontId="22" fillId="6" borderId="7" xfId="0" applyFont="1" applyFill="1" applyBorder="1" applyAlignment="1">
      <alignment horizontal="center"/>
    </xf>
    <xf numFmtId="0" fontId="12" fillId="0" borderId="8" xfId="0" applyFont="1" applyBorder="1"/>
    <xf numFmtId="0" fontId="43" fillId="0" borderId="14" xfId="0" applyFont="1" applyBorder="1" applyAlignment="1">
      <alignment horizontal="left"/>
    </xf>
    <xf numFmtId="0" fontId="22" fillId="6" borderId="9" xfId="0" applyFont="1" applyFill="1" applyBorder="1" applyAlignment="1">
      <alignment horizontal="center"/>
    </xf>
    <xf numFmtId="0" fontId="43" fillId="0" borderId="15" xfId="0" applyFont="1" applyBorder="1" applyAlignment="1">
      <alignment horizontal="left"/>
    </xf>
    <xf numFmtId="165" fontId="24" fillId="6" borderId="3" xfId="0" applyNumberFormat="1" applyFont="1" applyFill="1" applyBorder="1" applyAlignment="1">
      <alignment horizontal="center"/>
    </xf>
    <xf numFmtId="0" fontId="24" fillId="6" borderId="12" xfId="0" applyFont="1" applyFill="1" applyBorder="1" applyAlignment="1">
      <alignment horizontal="center"/>
    </xf>
    <xf numFmtId="0" fontId="26" fillId="4" borderId="33" xfId="0" applyFont="1" applyFill="1" applyBorder="1" applyAlignment="1">
      <alignment horizontal="center"/>
    </xf>
    <xf numFmtId="0" fontId="39" fillId="0" borderId="1" xfId="0" applyFont="1" applyBorder="1" applyAlignment="1">
      <alignment horizontal="center"/>
    </xf>
    <xf numFmtId="0" fontId="39" fillId="0" borderId="2" xfId="0" applyFont="1" applyBorder="1" applyAlignment="1">
      <alignment horizontal="center"/>
    </xf>
    <xf numFmtId="0" fontId="24" fillId="0" borderId="12" xfId="0" applyFont="1" applyBorder="1"/>
    <xf numFmtId="0" fontId="22" fillId="0" borderId="9" xfId="0" applyFont="1" applyBorder="1" applyAlignment="1">
      <alignment horizontal="center"/>
    </xf>
    <xf numFmtId="0" fontId="20" fillId="0" borderId="11" xfId="0" applyFont="1" applyBorder="1" applyAlignment="1">
      <alignment horizontal="center"/>
    </xf>
    <xf numFmtId="0" fontId="6" fillId="0" borderId="5" xfId="0" applyFont="1" applyBorder="1" applyAlignment="1">
      <alignment horizontal="right"/>
    </xf>
    <xf numFmtId="0" fontId="6" fillId="0" borderId="5" xfId="0" applyFont="1" applyBorder="1"/>
    <xf numFmtId="0" fontId="6" fillId="3" borderId="0" xfId="0" applyFont="1" applyFill="1"/>
    <xf numFmtId="0" fontId="0" fillId="3" borderId="0" xfId="0" applyFill="1"/>
    <xf numFmtId="0" fontId="22" fillId="2" borderId="0" xfId="0" applyFont="1" applyFill="1" applyAlignment="1">
      <alignment horizontal="center"/>
    </xf>
    <xf numFmtId="0" fontId="22" fillId="2" borderId="7" xfId="0" applyFont="1" applyFill="1" applyBorder="1" applyAlignment="1">
      <alignment horizontal="center"/>
    </xf>
    <xf numFmtId="0" fontId="26" fillId="0" borderId="3" xfId="0" applyFont="1" applyBorder="1" applyAlignment="1">
      <alignment horizontal="center"/>
    </xf>
    <xf numFmtId="0" fontId="6" fillId="2" borderId="0" xfId="0" applyFont="1" applyFill="1"/>
    <xf numFmtId="0" fontId="6" fillId="0" borderId="10" xfId="0" applyFont="1" applyBorder="1"/>
    <xf numFmtId="0" fontId="6" fillId="2" borderId="10" xfId="0" applyFont="1" applyFill="1" applyBorder="1"/>
    <xf numFmtId="0" fontId="15" fillId="19" borderId="10" xfId="0" applyFont="1" applyFill="1" applyBorder="1" applyAlignment="1">
      <alignment horizontal="center"/>
    </xf>
    <xf numFmtId="0" fontId="0" fillId="0" borderId="55" xfId="0" applyBorder="1"/>
    <xf numFmtId="1" fontId="0" fillId="0" borderId="56" xfId="0" applyNumberFormat="1" applyBorder="1" applyAlignment="1">
      <alignment horizontal="center"/>
    </xf>
    <xf numFmtId="0" fontId="0" fillId="0" borderId="57" xfId="0" applyBorder="1" applyAlignment="1">
      <alignment horizontal="center"/>
    </xf>
    <xf numFmtId="0" fontId="0" fillId="0" borderId="58" xfId="0" applyBorder="1"/>
    <xf numFmtId="0" fontId="0" fillId="0" borderId="60" xfId="0" applyBorder="1" applyAlignment="1">
      <alignment horizontal="center"/>
    </xf>
    <xf numFmtId="0" fontId="44" fillId="0" borderId="0" xfId="0" applyFont="1" applyAlignment="1">
      <alignment horizontal="center" wrapText="1"/>
    </xf>
    <xf numFmtId="0" fontId="0" fillId="0" borderId="0" xfId="0" applyAlignment="1">
      <alignment wrapText="1"/>
    </xf>
    <xf numFmtId="0" fontId="44" fillId="0" borderId="0" xfId="0" applyFont="1" applyAlignment="1">
      <alignment horizontal="center" vertical="top" wrapText="1"/>
    </xf>
    <xf numFmtId="0" fontId="41" fillId="0" borderId="0" xfId="0" applyFont="1" applyAlignment="1">
      <alignment horizontal="center" vertical="top" wrapText="1"/>
    </xf>
    <xf numFmtId="1" fontId="0" fillId="2" borderId="56" xfId="0" applyNumberFormat="1" applyFill="1" applyBorder="1" applyAlignment="1">
      <alignment horizontal="center"/>
    </xf>
    <xf numFmtId="1" fontId="0" fillId="2" borderId="59" xfId="0" applyNumberFormat="1" applyFill="1" applyBorder="1" applyAlignment="1">
      <alignment horizontal="center"/>
    </xf>
    <xf numFmtId="1" fontId="0" fillId="2" borderId="10" xfId="0" applyNumberFormat="1" applyFill="1" applyBorder="1" applyAlignment="1">
      <alignment horizontal="center"/>
    </xf>
    <xf numFmtId="169" fontId="45" fillId="0" borderId="0" xfId="0" applyNumberFormat="1" applyFont="1" applyAlignment="1">
      <alignment horizontal="center"/>
    </xf>
    <xf numFmtId="0" fontId="23" fillId="0" borderId="9" xfId="0" applyFont="1" applyBorder="1"/>
    <xf numFmtId="0" fontId="6" fillId="0" borderId="6" xfId="0" applyFont="1" applyBorder="1" applyAlignment="1">
      <alignment horizontal="left"/>
    </xf>
    <xf numFmtId="0" fontId="10" fillId="0" borderId="10" xfId="0" applyFont="1" applyBorder="1"/>
    <xf numFmtId="0" fontId="6" fillId="0" borderId="4" xfId="0" applyFont="1" applyBorder="1" applyAlignment="1">
      <alignment horizontal="right"/>
    </xf>
    <xf numFmtId="169" fontId="46" fillId="0" borderId="0" xfId="0" applyNumberFormat="1" applyFont="1" applyAlignment="1">
      <alignment horizontal="center"/>
    </xf>
    <xf numFmtId="0" fontId="47" fillId="0" borderId="5" xfId="0" applyFont="1" applyBorder="1" applyAlignment="1">
      <alignment horizontal="center"/>
    </xf>
    <xf numFmtId="0" fontId="47" fillId="0" borderId="6" xfId="0" applyFont="1" applyBorder="1" applyAlignment="1">
      <alignment horizontal="center"/>
    </xf>
    <xf numFmtId="0" fontId="47" fillId="0" borderId="0" xfId="0" applyFont="1" applyAlignment="1">
      <alignment horizontal="center"/>
    </xf>
    <xf numFmtId="0" fontId="47" fillId="0" borderId="8" xfId="0" applyFont="1" applyBorder="1" applyAlignment="1">
      <alignment horizontal="center"/>
    </xf>
    <xf numFmtId="164" fontId="0" fillId="0" borderId="59" xfId="0" applyNumberFormat="1" applyBorder="1" applyAlignment="1">
      <alignment horizontal="center"/>
    </xf>
    <xf numFmtId="0" fontId="47" fillId="0" borderId="59" xfId="0" applyFont="1" applyBorder="1" applyAlignment="1">
      <alignment horizontal="center"/>
    </xf>
    <xf numFmtId="0" fontId="0" fillId="0" borderId="59" xfId="0" applyBorder="1" applyAlignment="1">
      <alignment horizontal="center"/>
    </xf>
    <xf numFmtId="0" fontId="47" fillId="0" borderId="60" xfId="0" applyFont="1" applyBorder="1" applyAlignment="1">
      <alignment horizontal="center"/>
    </xf>
    <xf numFmtId="164" fontId="0" fillId="2" borderId="56" xfId="0" applyNumberFormat="1" applyFill="1" applyBorder="1" applyAlignment="1">
      <alignment horizontal="center"/>
    </xf>
    <xf numFmtId="0" fontId="47" fillId="0" borderId="56" xfId="0" applyFont="1" applyBorder="1" applyAlignment="1">
      <alignment horizontal="center"/>
    </xf>
    <xf numFmtId="164" fontId="0" fillId="0" borderId="56" xfId="0" applyNumberFormat="1" applyBorder="1" applyAlignment="1">
      <alignment horizontal="center"/>
    </xf>
    <xf numFmtId="0" fontId="47" fillId="0" borderId="57" xfId="0" applyFont="1" applyBorder="1" applyAlignment="1">
      <alignment horizontal="center"/>
    </xf>
    <xf numFmtId="0" fontId="47" fillId="0" borderId="10" xfId="0" applyFont="1" applyBorder="1" applyAlignment="1">
      <alignment horizontal="center"/>
    </xf>
    <xf numFmtId="0" fontId="47" fillId="0" borderId="11" xfId="0" applyFont="1" applyBorder="1" applyAlignment="1">
      <alignment horizontal="center"/>
    </xf>
    <xf numFmtId="167" fontId="22" fillId="0" borderId="10" xfId="0" applyNumberFormat="1" applyFont="1" applyBorder="1" applyAlignment="1">
      <alignment horizontal="center"/>
    </xf>
    <xf numFmtId="0" fontId="8" fillId="0" borderId="0" xfId="0" applyFont="1" applyAlignment="1">
      <alignment horizontal="left"/>
    </xf>
    <xf numFmtId="164" fontId="24" fillId="0" borderId="5" xfId="0" applyNumberFormat="1" applyFont="1" applyBorder="1" applyAlignment="1">
      <alignment horizontal="center"/>
    </xf>
    <xf numFmtId="0" fontId="48" fillId="0" borderId="5" xfId="0" applyFont="1" applyBorder="1" applyAlignment="1">
      <alignment horizontal="center"/>
    </xf>
    <xf numFmtId="0" fontId="48" fillId="0" borderId="6" xfId="0" applyFont="1" applyBorder="1" applyAlignment="1">
      <alignment horizontal="center"/>
    </xf>
    <xf numFmtId="0" fontId="8" fillId="0" borderId="0" xfId="0" quotePrefix="1" applyFont="1" applyAlignment="1">
      <alignment horizontal="left"/>
    </xf>
    <xf numFmtId="1" fontId="20" fillId="0" borderId="0" xfId="0" applyNumberFormat="1" applyFont="1" applyAlignment="1">
      <alignment horizontal="center"/>
    </xf>
    <xf numFmtId="165" fontId="0" fillId="0" borderId="6" xfId="0" applyNumberFormat="1" applyBorder="1"/>
    <xf numFmtId="0" fontId="87" fillId="6" borderId="1" xfId="0" applyFont="1" applyFill="1" applyBorder="1"/>
    <xf numFmtId="1" fontId="22" fillId="6" borderId="56" xfId="0" applyNumberFormat="1" applyFont="1" applyFill="1" applyBorder="1" applyAlignment="1">
      <alignment horizontal="center"/>
    </xf>
    <xf numFmtId="0" fontId="15" fillId="6" borderId="56" xfId="0" applyFont="1" applyFill="1" applyBorder="1" applyAlignment="1">
      <alignment horizontal="center"/>
    </xf>
    <xf numFmtId="0" fontId="0" fillId="0" borderId="57" xfId="0" applyBorder="1"/>
    <xf numFmtId="1" fontId="22" fillId="6" borderId="59" xfId="0" applyNumberFormat="1" applyFont="1" applyFill="1" applyBorder="1" applyAlignment="1">
      <alignment horizontal="center"/>
    </xf>
    <xf numFmtId="0" fontId="15" fillId="6" borderId="59" xfId="0" applyFont="1" applyFill="1" applyBorder="1" applyAlignment="1">
      <alignment horizontal="center"/>
    </xf>
    <xf numFmtId="0" fontId="0" fillId="0" borderId="60" xfId="0" applyBorder="1"/>
    <xf numFmtId="0" fontId="0" fillId="2" borderId="56" xfId="0" applyFill="1" applyBorder="1" applyAlignment="1">
      <alignment horizontal="center"/>
    </xf>
    <xf numFmtId="0" fontId="15" fillId="2" borderId="56" xfId="0" applyFont="1" applyFill="1" applyBorder="1" applyAlignment="1">
      <alignment horizontal="center"/>
    </xf>
    <xf numFmtId="0" fontId="0" fillId="2" borderId="59" xfId="0" applyFill="1" applyBorder="1" applyAlignment="1">
      <alignment horizontal="center"/>
    </xf>
    <xf numFmtId="0" fontId="0" fillId="2" borderId="59" xfId="0" applyFill="1" applyBorder="1"/>
    <xf numFmtId="0" fontId="15" fillId="2" borderId="59" xfId="0" applyFont="1" applyFill="1" applyBorder="1" applyAlignment="1">
      <alignment horizontal="center"/>
    </xf>
    <xf numFmtId="1" fontId="9" fillId="3" borderId="56" xfId="0" applyNumberFormat="1" applyFont="1" applyFill="1" applyBorder="1" applyAlignment="1">
      <alignment horizontal="center"/>
    </xf>
    <xf numFmtId="0" fontId="0" fillId="2" borderId="56" xfId="0" applyFill="1" applyBorder="1"/>
    <xf numFmtId="0" fontId="19" fillId="2" borderId="59" xfId="0" applyFont="1" applyFill="1" applyBorder="1" applyAlignment="1">
      <alignment horizontal="center"/>
    </xf>
    <xf numFmtId="0" fontId="32" fillId="2" borderId="0" xfId="0" applyFont="1" applyFill="1" applyAlignment="1">
      <alignment horizontal="center"/>
    </xf>
    <xf numFmtId="0" fontId="0" fillId="15" borderId="4" xfId="0" applyFill="1" applyBorder="1"/>
    <xf numFmtId="1" fontId="12" fillId="15" borderId="5" xfId="0" applyNumberFormat="1" applyFont="1" applyFill="1" applyBorder="1" applyAlignment="1">
      <alignment horizontal="center"/>
    </xf>
    <xf numFmtId="0" fontId="0" fillId="15" borderId="7" xfId="0" applyFill="1" applyBorder="1"/>
    <xf numFmtId="1" fontId="17" fillId="15" borderId="0" xfId="0" applyNumberFormat="1" applyFont="1" applyFill="1" applyAlignment="1">
      <alignment horizontal="center"/>
    </xf>
    <xf numFmtId="0" fontId="0" fillId="15" borderId="58" xfId="0" applyFill="1" applyBorder="1"/>
    <xf numFmtId="1" fontId="12" fillId="15" borderId="59" xfId="0" applyNumberFormat="1" applyFont="1" applyFill="1" applyBorder="1" applyAlignment="1">
      <alignment horizontal="center"/>
    </xf>
    <xf numFmtId="1" fontId="17" fillId="15" borderId="59" xfId="0" applyNumberFormat="1" applyFont="1" applyFill="1" applyBorder="1" applyAlignment="1">
      <alignment horizontal="center"/>
    </xf>
    <xf numFmtId="0" fontId="0" fillId="15" borderId="60" xfId="0" applyFill="1" applyBorder="1"/>
    <xf numFmtId="0" fontId="0" fillId="15" borderId="55" xfId="0" applyFill="1" applyBorder="1"/>
    <xf numFmtId="1" fontId="32" fillId="2" borderId="56" xfId="0" applyNumberFormat="1" applyFont="1" applyFill="1" applyBorder="1" applyAlignment="1">
      <alignment horizontal="center"/>
    </xf>
    <xf numFmtId="1" fontId="17" fillId="15" borderId="56" xfId="0" applyNumberFormat="1" applyFont="1" applyFill="1" applyBorder="1" applyAlignment="1">
      <alignment horizontal="center"/>
    </xf>
    <xf numFmtId="1" fontId="12" fillId="15" borderId="56" xfId="0" applyNumberFormat="1" applyFont="1" applyFill="1" applyBorder="1" applyAlignment="1">
      <alignment horizontal="center"/>
    </xf>
    <xf numFmtId="0" fontId="0" fillId="15" borderId="57" xfId="0" applyFill="1" applyBorder="1"/>
    <xf numFmtId="1" fontId="32" fillId="2" borderId="0" xfId="0" applyNumberFormat="1" applyFont="1" applyFill="1" applyAlignment="1">
      <alignment horizontal="center"/>
    </xf>
    <xf numFmtId="1" fontId="17" fillId="15" borderId="0" xfId="0" applyNumberFormat="1" applyFont="1" applyFill="1"/>
    <xf numFmtId="1" fontId="17" fillId="2" borderId="0" xfId="0" applyNumberFormat="1" applyFont="1" applyFill="1"/>
    <xf numFmtId="1" fontId="12" fillId="15" borderId="61" xfId="0" applyNumberFormat="1" applyFont="1" applyFill="1" applyBorder="1" applyAlignment="1">
      <alignment horizontal="center"/>
    </xf>
    <xf numFmtId="1" fontId="17" fillId="15" borderId="56" xfId="0" applyNumberFormat="1" applyFont="1" applyFill="1" applyBorder="1"/>
    <xf numFmtId="1" fontId="17" fillId="2" borderId="56" xfId="0" applyNumberFormat="1" applyFont="1" applyFill="1" applyBorder="1" applyAlignment="1">
      <alignment horizontal="center"/>
    </xf>
    <xf numFmtId="1" fontId="17" fillId="2" borderId="56" xfId="0" applyNumberFormat="1" applyFont="1" applyFill="1" applyBorder="1"/>
    <xf numFmtId="1" fontId="12" fillId="2" borderId="0" xfId="0" applyNumberFormat="1" applyFont="1" applyFill="1" applyAlignment="1">
      <alignment horizontal="center"/>
    </xf>
    <xf numFmtId="1" fontId="12" fillId="15" borderId="0" xfId="0" applyNumberFormat="1" applyFont="1" applyFill="1"/>
    <xf numFmtId="0" fontId="15" fillId="15" borderId="8" xfId="0" applyFont="1" applyFill="1" applyBorder="1" applyAlignment="1">
      <alignment horizontal="center"/>
    </xf>
    <xf numFmtId="0" fontId="0" fillId="15" borderId="9" xfId="0" applyFill="1" applyBorder="1"/>
    <xf numFmtId="167" fontId="0" fillId="0" borderId="56" xfId="0" applyNumberFormat="1" applyBorder="1" applyAlignment="1">
      <alignment horizontal="center"/>
    </xf>
    <xf numFmtId="167" fontId="0" fillId="0" borderId="59" xfId="0" applyNumberFormat="1" applyBorder="1" applyAlignment="1">
      <alignment horizontal="center"/>
    </xf>
    <xf numFmtId="164" fontId="0" fillId="2" borderId="59" xfId="0" applyNumberFormat="1" applyFill="1" applyBorder="1" applyAlignment="1">
      <alignment horizontal="center"/>
    </xf>
    <xf numFmtId="167" fontId="0" fillId="2" borderId="59" xfId="0" applyNumberFormat="1" applyFill="1" applyBorder="1" applyAlignment="1">
      <alignment horizontal="center"/>
    </xf>
    <xf numFmtId="167" fontId="0" fillId="2" borderId="56" xfId="0" applyNumberFormat="1" applyFill="1" applyBorder="1" applyAlignment="1">
      <alignment horizontal="center"/>
    </xf>
    <xf numFmtId="167" fontId="0" fillId="2" borderId="0" xfId="0" applyNumberFormat="1" applyFill="1" applyAlignment="1">
      <alignment horizontal="center"/>
    </xf>
    <xf numFmtId="167" fontId="0" fillId="2" borderId="10" xfId="0" applyNumberFormat="1" applyFill="1" applyBorder="1" applyAlignment="1">
      <alignment horizontal="center"/>
    </xf>
    <xf numFmtId="0" fontId="7" fillId="19" borderId="1" xfId="0" applyFont="1" applyFill="1" applyBorder="1"/>
    <xf numFmtId="164" fontId="7" fillId="19" borderId="2" xfId="0" applyNumberFormat="1" applyFont="1" applyFill="1" applyBorder="1" applyAlignment="1">
      <alignment horizontal="center"/>
    </xf>
    <xf numFmtId="0" fontId="7" fillId="19" borderId="2" xfId="0" applyFont="1" applyFill="1" applyBorder="1" applyAlignment="1">
      <alignment horizontal="center"/>
    </xf>
    <xf numFmtId="167" fontId="7" fillId="19" borderId="2" xfId="0" applyNumberFormat="1" applyFont="1" applyFill="1" applyBorder="1" applyAlignment="1">
      <alignment horizontal="center"/>
    </xf>
    <xf numFmtId="0" fontId="7" fillId="19" borderId="3" xfId="0" applyFont="1" applyFill="1" applyBorder="1"/>
    <xf numFmtId="164" fontId="6" fillId="0" borderId="2" xfId="0" applyNumberFormat="1" applyFont="1" applyBorder="1" applyAlignment="1">
      <alignment horizontal="center"/>
    </xf>
    <xf numFmtId="2" fontId="0" fillId="0" borderId="59" xfId="0" applyNumberFormat="1" applyBorder="1" applyAlignment="1">
      <alignment horizontal="center"/>
    </xf>
    <xf numFmtId="2" fontId="0" fillId="2" borderId="56" xfId="0" applyNumberFormat="1" applyFill="1" applyBorder="1" applyAlignment="1">
      <alignment horizontal="center"/>
    </xf>
    <xf numFmtId="2" fontId="0" fillId="0" borderId="56" xfId="0" applyNumberFormat="1" applyBorder="1" applyAlignment="1">
      <alignment horizontal="center"/>
    </xf>
    <xf numFmtId="2" fontId="0" fillId="2" borderId="59" xfId="0" applyNumberFormat="1" applyFill="1" applyBorder="1" applyAlignment="1">
      <alignment horizontal="center"/>
    </xf>
    <xf numFmtId="0" fontId="31" fillId="16" borderId="1" xfId="0" applyFont="1" applyFill="1" applyBorder="1"/>
    <xf numFmtId="2" fontId="24" fillId="16" borderId="12" xfId="0" applyNumberFormat="1" applyFont="1" applyFill="1" applyBorder="1" applyAlignment="1">
      <alignment horizontal="center"/>
    </xf>
    <xf numFmtId="2" fontId="6" fillId="16" borderId="2" xfId="0" applyNumberFormat="1" applyFont="1" applyFill="1" applyBorder="1" applyAlignment="1">
      <alignment horizontal="center"/>
    </xf>
    <xf numFmtId="0" fontId="0" fillId="16" borderId="3" xfId="0" applyFill="1" applyBorder="1"/>
    <xf numFmtId="164" fontId="6" fillId="0" borderId="5" xfId="0" applyNumberFormat="1" applyFont="1" applyBorder="1" applyAlignment="1">
      <alignment horizontal="center"/>
    </xf>
    <xf numFmtId="0" fontId="9" fillId="3" borderId="7" xfId="0" applyFont="1" applyFill="1" applyBorder="1" applyAlignment="1" applyProtection="1">
      <alignment horizontal="center"/>
      <protection locked="0"/>
    </xf>
    <xf numFmtId="1" fontId="9" fillId="3" borderId="0" xfId="0" applyNumberFormat="1" applyFont="1" applyFill="1" applyAlignment="1" applyProtection="1">
      <alignment horizontal="center"/>
      <protection locked="0"/>
    </xf>
    <xf numFmtId="1" fontId="9" fillId="3" borderId="56" xfId="0" applyNumberFormat="1" applyFont="1" applyFill="1" applyBorder="1" applyAlignment="1" applyProtection="1">
      <alignment horizontal="center"/>
      <protection locked="0"/>
    </xf>
    <xf numFmtId="0" fontId="9" fillId="6" borderId="12" xfId="0" applyFont="1" applyFill="1" applyBorder="1"/>
    <xf numFmtId="0" fontId="0" fillId="0" borderId="66" xfId="0" applyBorder="1" applyAlignment="1">
      <alignment horizontal="center"/>
    </xf>
    <xf numFmtId="0" fontId="0" fillId="0" borderId="47" xfId="0" applyBorder="1" applyAlignment="1">
      <alignment horizontal="center"/>
    </xf>
    <xf numFmtId="0" fontId="6" fillId="0" borderId="78" xfId="0" applyFont="1" applyBorder="1" applyAlignment="1">
      <alignment horizontal="center"/>
    </xf>
    <xf numFmtId="0" fontId="6" fillId="0" borderId="46" xfId="0" applyFont="1" applyBorder="1" applyAlignment="1">
      <alignment horizontal="center"/>
    </xf>
    <xf numFmtId="0" fontId="6" fillId="0" borderId="79" xfId="0" applyFont="1" applyBorder="1" applyAlignment="1">
      <alignment horizontal="center"/>
    </xf>
    <xf numFmtId="0" fontId="22" fillId="6" borderId="10" xfId="0" applyFont="1" applyFill="1" applyBorder="1" applyAlignment="1">
      <alignment horizontal="center"/>
    </xf>
    <xf numFmtId="0" fontId="15" fillId="6" borderId="1" xfId="0" applyFont="1" applyFill="1" applyBorder="1"/>
    <xf numFmtId="0" fontId="15" fillId="6" borderId="2" xfId="0" applyFont="1" applyFill="1" applyBorder="1"/>
    <xf numFmtId="0" fontId="15" fillId="6" borderId="3" xfId="0" applyFont="1" applyFill="1" applyBorder="1"/>
    <xf numFmtId="0" fontId="15" fillId="6" borderId="1" xfId="0" applyFont="1" applyFill="1" applyBorder="1" applyAlignment="1">
      <alignment horizontal="left"/>
    </xf>
    <xf numFmtId="0" fontId="24" fillId="6" borderId="12" xfId="0" applyFont="1" applyFill="1" applyBorder="1"/>
    <xf numFmtId="0" fontId="38" fillId="11" borderId="7" xfId="0" applyFont="1" applyFill="1" applyBorder="1" applyAlignment="1">
      <alignment horizontal="center"/>
    </xf>
    <xf numFmtId="0" fontId="15" fillId="11" borderId="8" xfId="0" applyFont="1" applyFill="1" applyBorder="1" applyAlignment="1">
      <alignment horizontal="center"/>
    </xf>
    <xf numFmtId="0" fontId="52" fillId="0" borderId="11" xfId="0" applyFont="1" applyBorder="1" applyAlignment="1">
      <alignment horizontal="center"/>
    </xf>
    <xf numFmtId="0" fontId="52" fillId="0" borderId="0" xfId="0" applyFont="1" applyAlignment="1">
      <alignment horizontal="center"/>
    </xf>
    <xf numFmtId="0" fontId="38" fillId="0" borderId="9" xfId="0" applyFont="1" applyBorder="1" applyAlignment="1">
      <alignment horizontal="center"/>
    </xf>
    <xf numFmtId="0" fontId="52" fillId="0" borderId="11" xfId="0" applyFont="1" applyBorder="1"/>
    <xf numFmtId="0" fontId="15" fillId="2" borderId="0" xfId="0" applyFont="1" applyFill="1" applyAlignment="1">
      <alignment horizontal="center"/>
    </xf>
    <xf numFmtId="1" fontId="12" fillId="0" borderId="0" xfId="0" applyNumberFormat="1" applyFont="1" applyAlignment="1">
      <alignment horizontal="center"/>
    </xf>
    <xf numFmtId="0" fontId="9" fillId="0" borderId="5" xfId="0" applyFont="1" applyBorder="1" applyAlignment="1">
      <alignment horizontal="center"/>
    </xf>
    <xf numFmtId="0" fontId="22" fillId="0" borderId="5" xfId="0" applyFont="1" applyBorder="1" applyAlignment="1">
      <alignment horizontal="center"/>
    </xf>
    <xf numFmtId="1" fontId="22" fillId="6" borderId="5" xfId="0" applyNumberFormat="1" applyFont="1" applyFill="1" applyBorder="1" applyAlignment="1">
      <alignment horizontal="center"/>
    </xf>
    <xf numFmtId="1" fontId="0" fillId="0" borderId="56" xfId="0" applyNumberFormat="1" applyBorder="1"/>
    <xf numFmtId="1" fontId="15" fillId="6" borderId="56" xfId="0" applyNumberFormat="1" applyFont="1" applyFill="1" applyBorder="1" applyAlignment="1">
      <alignment horizontal="center"/>
    </xf>
    <xf numFmtId="1" fontId="15" fillId="2" borderId="59" xfId="0" applyNumberFormat="1" applyFont="1" applyFill="1" applyBorder="1" applyAlignment="1">
      <alignment horizontal="center"/>
    </xf>
    <xf numFmtId="1" fontId="0" fillId="0" borderId="59" xfId="0" applyNumberFormat="1" applyBorder="1"/>
    <xf numFmtId="1" fontId="15" fillId="6" borderId="59" xfId="0" applyNumberFormat="1" applyFont="1" applyFill="1" applyBorder="1" applyAlignment="1">
      <alignment horizontal="center"/>
    </xf>
    <xf numFmtId="0" fontId="0" fillId="0" borderId="0" xfId="0" quotePrefix="1" applyAlignment="1">
      <alignment horizontal="left"/>
    </xf>
    <xf numFmtId="1" fontId="15" fillId="2" borderId="56" xfId="0" applyNumberFormat="1" applyFont="1" applyFill="1" applyBorder="1" applyAlignment="1">
      <alignment horizontal="center"/>
    </xf>
    <xf numFmtId="1" fontId="0" fillId="2" borderId="59" xfId="0" applyNumberFormat="1" applyFill="1" applyBorder="1"/>
    <xf numFmtId="1" fontId="0" fillId="2" borderId="56" xfId="0" applyNumberFormat="1" applyFill="1" applyBorder="1"/>
    <xf numFmtId="1" fontId="22" fillId="0" borderId="59" xfId="0" applyNumberFormat="1" applyFont="1" applyBorder="1" applyAlignment="1">
      <alignment horizontal="center"/>
    </xf>
    <xf numFmtId="1" fontId="19" fillId="2" borderId="59" xfId="0" applyNumberFormat="1" applyFont="1" applyFill="1" applyBorder="1" applyAlignment="1">
      <alignment horizontal="center"/>
    </xf>
    <xf numFmtId="1" fontId="22" fillId="6" borderId="0" xfId="0" applyNumberFormat="1" applyFont="1" applyFill="1" applyAlignment="1">
      <alignment horizontal="center"/>
    </xf>
    <xf numFmtId="1" fontId="11" fillId="15" borderId="5" xfId="0" applyNumberFormat="1" applyFont="1" applyFill="1" applyBorder="1" applyAlignment="1">
      <alignment horizontal="center"/>
    </xf>
    <xf numFmtId="1" fontId="11" fillId="15" borderId="0" xfId="0" applyNumberFormat="1" applyFont="1" applyFill="1" applyAlignment="1">
      <alignment horizontal="center"/>
    </xf>
    <xf numFmtId="1" fontId="12" fillId="2" borderId="59" xfId="0" applyNumberFormat="1" applyFont="1" applyFill="1" applyBorder="1" applyAlignment="1">
      <alignment horizontal="center"/>
    </xf>
    <xf numFmtId="1" fontId="11" fillId="15" borderId="59" xfId="0" applyNumberFormat="1" applyFont="1" applyFill="1" applyBorder="1" applyAlignment="1">
      <alignment horizontal="center"/>
    </xf>
    <xf numFmtId="0" fontId="8" fillId="5" borderId="3" xfId="0" applyFont="1" applyFill="1" applyBorder="1" applyAlignment="1">
      <alignment horizontal="center"/>
    </xf>
    <xf numFmtId="1" fontId="6" fillId="15" borderId="56" xfId="0" applyNumberFormat="1" applyFont="1" applyFill="1" applyBorder="1" applyAlignment="1">
      <alignment horizontal="center"/>
    </xf>
    <xf numFmtId="1" fontId="6" fillId="2" borderId="56" xfId="0" applyNumberFormat="1" applyFont="1" applyFill="1" applyBorder="1" applyAlignment="1">
      <alignment horizontal="center"/>
    </xf>
    <xf numFmtId="1" fontId="6" fillId="15" borderId="0" xfId="0" applyNumberFormat="1" applyFont="1" applyFill="1"/>
    <xf numFmtId="1" fontId="6" fillId="2" borderId="0" xfId="0" applyNumberFormat="1" applyFont="1" applyFill="1"/>
    <xf numFmtId="1" fontId="6" fillId="2" borderId="0" xfId="0" applyNumberFormat="1" applyFont="1" applyFill="1" applyAlignment="1">
      <alignment horizontal="center"/>
    </xf>
    <xf numFmtId="1" fontId="12" fillId="2" borderId="61" xfId="0" applyNumberFormat="1" applyFont="1" applyFill="1" applyBorder="1" applyAlignment="1">
      <alignment horizontal="center"/>
    </xf>
    <xf numFmtId="1" fontId="6" fillId="15" borderId="56" xfId="0" applyNumberFormat="1" applyFont="1" applyFill="1" applyBorder="1"/>
    <xf numFmtId="1" fontId="6" fillId="2" borderId="56" xfId="0" applyNumberFormat="1" applyFont="1" applyFill="1" applyBorder="1"/>
    <xf numFmtId="1" fontId="15" fillId="15" borderId="0" xfId="0" applyNumberFormat="1" applyFont="1" applyFill="1" applyAlignment="1">
      <alignment horizontal="center"/>
    </xf>
    <xf numFmtId="1" fontId="15" fillId="2" borderId="0" xfId="0" applyNumberFormat="1" applyFont="1" applyFill="1" applyAlignment="1">
      <alignment horizontal="center"/>
    </xf>
    <xf numFmtId="1" fontId="15" fillId="15" borderId="0" xfId="0" applyNumberFormat="1" applyFont="1" applyFill="1"/>
    <xf numFmtId="1" fontId="12" fillId="15" borderId="10" xfId="0" applyNumberFormat="1" applyFont="1" applyFill="1" applyBorder="1" applyAlignment="1">
      <alignment horizontal="center"/>
    </xf>
    <xf numFmtId="165" fontId="6" fillId="15" borderId="10" xfId="0" applyNumberFormat="1" applyFont="1" applyFill="1" applyBorder="1"/>
    <xf numFmtId="165" fontId="6" fillId="2" borderId="10" xfId="0" applyNumberFormat="1" applyFont="1" applyFill="1" applyBorder="1"/>
    <xf numFmtId="165" fontId="24" fillId="16" borderId="12" xfId="0" applyNumberFormat="1" applyFont="1" applyFill="1" applyBorder="1" applyAlignment="1">
      <alignment horizontal="center"/>
    </xf>
    <xf numFmtId="2" fontId="6" fillId="16" borderId="12" xfId="0" applyNumberFormat="1" applyFont="1" applyFill="1" applyBorder="1" applyAlignment="1">
      <alignment horizontal="center"/>
    </xf>
    <xf numFmtId="0" fontId="0" fillId="16" borderId="2" xfId="0" applyFill="1" applyBorder="1"/>
    <xf numFmtId="0" fontId="8" fillId="3" borderId="5" xfId="0" applyFont="1" applyFill="1" applyBorder="1" applyAlignment="1" applyProtection="1">
      <alignment horizontal="center"/>
      <protection locked="0"/>
    </xf>
    <xf numFmtId="1" fontId="9" fillId="3" borderId="5" xfId="0" applyNumberFormat="1" applyFont="1" applyFill="1" applyBorder="1" applyAlignment="1" applyProtection="1">
      <alignment horizontal="center"/>
      <protection locked="0"/>
    </xf>
    <xf numFmtId="1" fontId="15" fillId="2" borderId="59" xfId="0" applyNumberFormat="1" applyFont="1" applyFill="1" applyBorder="1" applyAlignment="1" applyProtection="1">
      <alignment horizontal="center"/>
      <protection locked="0"/>
    </xf>
    <xf numFmtId="1" fontId="9" fillId="3" borderId="59" xfId="0" applyNumberFormat="1" applyFont="1" applyFill="1" applyBorder="1" applyAlignment="1" applyProtection="1">
      <alignment horizontal="center"/>
      <protection locked="0"/>
    </xf>
    <xf numFmtId="0" fontId="6" fillId="0" borderId="81" xfId="0" applyFont="1" applyBorder="1" applyAlignment="1">
      <alignment horizontal="center"/>
    </xf>
    <xf numFmtId="0" fontId="6" fillId="0" borderId="82" xfId="0" applyFont="1" applyBorder="1" applyAlignment="1">
      <alignment horizontal="center"/>
    </xf>
    <xf numFmtId="0" fontId="6" fillId="6" borderId="14" xfId="0" applyFont="1" applyFill="1" applyBorder="1" applyAlignment="1">
      <alignment horizontal="center"/>
    </xf>
    <xf numFmtId="0" fontId="21" fillId="0" borderId="11" xfId="0" applyFont="1" applyBorder="1" applyAlignment="1">
      <alignment horizontal="center"/>
    </xf>
    <xf numFmtId="0" fontId="20" fillId="0" borderId="11" xfId="0" applyFont="1" applyBorder="1"/>
    <xf numFmtId="0" fontId="6" fillId="0" borderId="8" xfId="0" applyFont="1" applyBorder="1" applyAlignment="1">
      <alignment horizontal="left"/>
    </xf>
    <xf numFmtId="0" fontId="6" fillId="0" borderId="10" xfId="0" applyFont="1" applyBorder="1" applyAlignment="1">
      <alignment horizontal="right"/>
    </xf>
    <xf numFmtId="164" fontId="24" fillId="0" borderId="12" xfId="0" applyNumberFormat="1" applyFont="1" applyBorder="1" applyAlignment="1">
      <alignment horizontal="center"/>
    </xf>
    <xf numFmtId="1" fontId="22" fillId="2" borderId="59" xfId="0" applyNumberFormat="1" applyFont="1" applyFill="1" applyBorder="1" applyAlignment="1">
      <alignment horizontal="center"/>
    </xf>
    <xf numFmtId="1" fontId="21" fillId="6" borderId="56" xfId="0" applyNumberFormat="1" applyFont="1" applyFill="1" applyBorder="1" applyAlignment="1">
      <alignment horizontal="center"/>
    </xf>
    <xf numFmtId="1" fontId="22" fillId="2" borderId="56" xfId="0" applyNumberFormat="1" applyFont="1" applyFill="1" applyBorder="1" applyAlignment="1">
      <alignment horizontal="center"/>
    </xf>
    <xf numFmtId="1" fontId="9" fillId="2" borderId="56" xfId="0" applyNumberFormat="1" applyFont="1" applyFill="1" applyBorder="1" applyAlignment="1">
      <alignment horizontal="center"/>
    </xf>
    <xf numFmtId="1" fontId="22" fillId="6" borderId="10" xfId="0" applyNumberFormat="1" applyFont="1" applyFill="1" applyBorder="1" applyAlignment="1">
      <alignment horizontal="center"/>
    </xf>
    <xf numFmtId="0" fontId="32" fillId="2" borderId="10" xfId="0" applyFont="1" applyFill="1" applyBorder="1" applyAlignment="1">
      <alignment horizontal="center"/>
    </xf>
    <xf numFmtId="1" fontId="14" fillId="15" borderId="0" xfId="0" applyNumberFormat="1" applyFont="1" applyFill="1" applyAlignment="1">
      <alignment horizontal="center"/>
    </xf>
    <xf numFmtId="1" fontId="14" fillId="15" borderId="59" xfId="0" applyNumberFormat="1" applyFont="1" applyFill="1" applyBorder="1" applyAlignment="1">
      <alignment horizontal="center"/>
    </xf>
    <xf numFmtId="1" fontId="0" fillId="15" borderId="56" xfId="0" applyNumberFormat="1" applyFill="1" applyBorder="1" applyAlignment="1">
      <alignment horizontal="center"/>
    </xf>
    <xf numFmtId="1" fontId="11" fillId="15" borderId="56" xfId="0" applyNumberFormat="1" applyFont="1" applyFill="1" applyBorder="1" applyAlignment="1">
      <alignment horizontal="center"/>
    </xf>
    <xf numFmtId="1" fontId="0" fillId="15" borderId="0" xfId="0" applyNumberFormat="1" applyFill="1"/>
    <xf numFmtId="1" fontId="0" fillId="2" borderId="0" xfId="0" applyNumberFormat="1" applyFill="1"/>
    <xf numFmtId="1" fontId="22" fillId="2" borderId="61" xfId="0" applyNumberFormat="1" applyFont="1" applyFill="1" applyBorder="1" applyAlignment="1">
      <alignment horizontal="center"/>
    </xf>
    <xf numFmtId="1" fontId="0" fillId="15" borderId="56" xfId="0" applyNumberFormat="1" applyFill="1" applyBorder="1"/>
    <xf numFmtId="0" fontId="0" fillId="0" borderId="2" xfId="0" applyBorder="1" applyAlignment="1">
      <alignment horizontal="right"/>
    </xf>
    <xf numFmtId="0" fontId="9" fillId="3" borderId="59" xfId="0" applyFont="1" applyFill="1" applyBorder="1" applyAlignment="1" applyProtection="1">
      <alignment horizontal="center"/>
      <protection locked="0"/>
    </xf>
    <xf numFmtId="0" fontId="8" fillId="3" borderId="59" xfId="0" applyFont="1" applyFill="1" applyBorder="1" applyAlignment="1" applyProtection="1">
      <alignment horizontal="center"/>
      <protection locked="0"/>
    </xf>
    <xf numFmtId="0" fontId="2" fillId="0" borderId="1" xfId="0" applyFont="1" applyBorder="1" applyAlignment="1">
      <alignment wrapText="1"/>
    </xf>
    <xf numFmtId="0" fontId="22" fillId="0" borderId="2" xfId="0" applyFont="1" applyBorder="1" applyAlignment="1">
      <alignment horizontal="center"/>
    </xf>
    <xf numFmtId="0" fontId="22" fillId="0" borderId="3" xfId="0" applyFont="1" applyBorder="1" applyAlignment="1">
      <alignment horizontal="center"/>
    </xf>
    <xf numFmtId="0" fontId="9" fillId="0" borderId="7" xfId="0" applyFont="1" applyBorder="1" applyAlignment="1">
      <alignment horizontal="center"/>
    </xf>
    <xf numFmtId="167" fontId="22" fillId="0" borderId="12" xfId="0" applyNumberFormat="1" applyFont="1" applyBorder="1" applyAlignment="1">
      <alignment horizontal="center"/>
    </xf>
    <xf numFmtId="1" fontId="22" fillId="0" borderId="10" xfId="0" applyNumberFormat="1" applyFont="1" applyBorder="1" applyAlignment="1">
      <alignment horizontal="center"/>
    </xf>
    <xf numFmtId="165" fontId="11" fillId="15" borderId="0" xfId="0" applyNumberFormat="1" applyFont="1" applyFill="1" applyAlignment="1">
      <alignment horizontal="center"/>
    </xf>
    <xf numFmtId="165" fontId="14" fillId="15" borderId="59" xfId="0" applyNumberFormat="1" applyFont="1" applyFill="1" applyBorder="1" applyAlignment="1">
      <alignment horizontal="center"/>
    </xf>
    <xf numFmtId="1" fontId="20" fillId="2" borderId="56" xfId="0" applyNumberFormat="1" applyFont="1" applyFill="1" applyBorder="1" applyAlignment="1">
      <alignment horizontal="center"/>
    </xf>
    <xf numFmtId="165" fontId="0" fillId="15" borderId="56" xfId="0" applyNumberFormat="1" applyFill="1" applyBorder="1" applyAlignment="1">
      <alignment horizontal="center"/>
    </xf>
    <xf numFmtId="1" fontId="20" fillId="2" borderId="0" xfId="0" applyNumberFormat="1" applyFont="1" applyFill="1" applyAlignment="1">
      <alignment horizontal="center"/>
    </xf>
    <xf numFmtId="165" fontId="0" fillId="15" borderId="0" xfId="0" applyNumberFormat="1" applyFill="1"/>
    <xf numFmtId="165" fontId="0" fillId="2" borderId="0" xfId="0" applyNumberFormat="1" applyFill="1"/>
    <xf numFmtId="165" fontId="0" fillId="15" borderId="56" xfId="0" applyNumberFormat="1" applyFill="1" applyBorder="1"/>
    <xf numFmtId="165" fontId="0" fillId="2" borderId="56" xfId="0" applyNumberFormat="1" applyFill="1" applyBorder="1" applyAlignment="1">
      <alignment horizontal="center"/>
    </xf>
    <xf numFmtId="165" fontId="0" fillId="2" borderId="56" xfId="0" applyNumberFormat="1" applyFill="1" applyBorder="1"/>
    <xf numFmtId="1" fontId="12" fillId="2" borderId="56" xfId="0" applyNumberFormat="1" applyFont="1" applyFill="1" applyBorder="1" applyAlignment="1">
      <alignment horizontal="center"/>
    </xf>
    <xf numFmtId="165" fontId="15" fillId="15" borderId="0" xfId="0" applyNumberFormat="1" applyFont="1" applyFill="1" applyAlignment="1">
      <alignment horizontal="center"/>
    </xf>
    <xf numFmtId="165" fontId="15" fillId="2" borderId="0" xfId="0" applyNumberFormat="1" applyFont="1" applyFill="1" applyAlignment="1">
      <alignment horizontal="center"/>
    </xf>
    <xf numFmtId="165" fontId="15" fillId="15" borderId="0" xfId="0" applyNumberFormat="1" applyFont="1" applyFill="1"/>
    <xf numFmtId="0" fontId="22" fillId="0" borderId="7" xfId="0" applyFont="1" applyBorder="1" applyAlignment="1">
      <alignment horizontal="center"/>
    </xf>
    <xf numFmtId="0" fontId="22" fillId="0" borderId="8" xfId="0" applyFont="1" applyBorder="1" applyAlignment="1">
      <alignment horizontal="center"/>
    </xf>
    <xf numFmtId="0" fontId="19" fillId="2" borderId="5" xfId="0" applyFont="1" applyFill="1" applyBorder="1" applyAlignment="1">
      <alignment horizontal="center"/>
    </xf>
    <xf numFmtId="0" fontId="15" fillId="0" borderId="2" xfId="0" applyFont="1" applyBorder="1"/>
    <xf numFmtId="0" fontId="18" fillId="0" borderId="0" xfId="0" applyFont="1" applyAlignment="1">
      <alignment wrapText="1"/>
    </xf>
    <xf numFmtId="0" fontId="50" fillId="0" borderId="0" xfId="0" applyFont="1" applyAlignment="1">
      <alignment horizontal="center" vertical="top" wrapText="1"/>
    </xf>
    <xf numFmtId="0" fontId="51" fillId="0" borderId="0" xfId="0" applyFont="1" applyAlignment="1">
      <alignment horizontal="center" vertical="top" wrapText="1"/>
    </xf>
    <xf numFmtId="0" fontId="0" fillId="2" borderId="60" xfId="0" applyFill="1" applyBorder="1" applyAlignment="1">
      <alignment horizontal="center"/>
    </xf>
    <xf numFmtId="0" fontId="16" fillId="0" borderId="0" xfId="0" applyFont="1" applyAlignment="1">
      <alignment horizontal="center"/>
    </xf>
    <xf numFmtId="0" fontId="0" fillId="2" borderId="57" xfId="0" applyFill="1" applyBorder="1" applyAlignment="1">
      <alignment horizontal="center"/>
    </xf>
    <xf numFmtId="0" fontId="0" fillId="0" borderId="62" xfId="0" applyBorder="1"/>
    <xf numFmtId="0" fontId="0" fillId="2" borderId="63" xfId="0" applyFill="1" applyBorder="1" applyAlignment="1">
      <alignment horizontal="center"/>
    </xf>
    <xf numFmtId="0" fontId="0" fillId="0" borderId="63" xfId="0" applyBorder="1" applyAlignment="1">
      <alignment horizontal="center"/>
    </xf>
    <xf numFmtId="1" fontId="0" fillId="0" borderId="63" xfId="0" applyNumberFormat="1" applyBorder="1" applyAlignment="1">
      <alignment horizontal="center"/>
    </xf>
    <xf numFmtId="0" fontId="0" fillId="2" borderId="23" xfId="0" applyFill="1" applyBorder="1" applyAlignment="1">
      <alignment horizontal="center"/>
    </xf>
    <xf numFmtId="0" fontId="6" fillId="0" borderId="1" xfId="0" applyFont="1" applyBorder="1" applyAlignment="1">
      <alignment horizontal="left"/>
    </xf>
    <xf numFmtId="0" fontId="0" fillId="2" borderId="6" xfId="0" applyFill="1" applyBorder="1" applyAlignment="1">
      <alignment horizontal="center"/>
    </xf>
    <xf numFmtId="164" fontId="0" fillId="0" borderId="63" xfId="0" applyNumberFormat="1" applyBorder="1" applyAlignment="1">
      <alignment horizontal="center"/>
    </xf>
    <xf numFmtId="164" fontId="24" fillId="2" borderId="12" xfId="0" applyNumberFormat="1" applyFont="1" applyFill="1" applyBorder="1" applyAlignment="1">
      <alignment horizontal="center"/>
    </xf>
    <xf numFmtId="167" fontId="24" fillId="2" borderId="12" xfId="0" applyNumberFormat="1" applyFont="1" applyFill="1" applyBorder="1" applyAlignment="1">
      <alignment horizontal="center"/>
    </xf>
    <xf numFmtId="0" fontId="21" fillId="6" borderId="4" xfId="0" applyFont="1" applyFill="1" applyBorder="1"/>
    <xf numFmtId="165" fontId="15" fillId="6" borderId="0" xfId="0" applyNumberFormat="1" applyFont="1" applyFill="1" applyAlignment="1">
      <alignment horizontal="center"/>
    </xf>
    <xf numFmtId="165" fontId="9" fillId="3" borderId="12" xfId="0" applyNumberFormat="1" applyFont="1" applyFill="1" applyBorder="1" applyAlignment="1">
      <alignment horizontal="center"/>
    </xf>
    <xf numFmtId="165" fontId="22" fillId="6" borderId="3" xfId="0" applyNumberFormat="1" applyFont="1" applyFill="1" applyBorder="1" applyAlignment="1">
      <alignment horizontal="center"/>
    </xf>
    <xf numFmtId="0" fontId="0" fillId="0" borderId="64" xfId="0" applyBorder="1"/>
    <xf numFmtId="165" fontId="22" fillId="6" borderId="10" xfId="0" applyNumberFormat="1" applyFont="1" applyFill="1" applyBorder="1" applyAlignment="1">
      <alignment horizontal="center"/>
    </xf>
    <xf numFmtId="0" fontId="0" fillId="2" borderId="11" xfId="0" applyFill="1" applyBorder="1" applyAlignment="1">
      <alignment horizontal="center"/>
    </xf>
    <xf numFmtId="0" fontId="0" fillId="15" borderId="65" xfId="0" applyFill="1" applyBorder="1"/>
    <xf numFmtId="1" fontId="22" fillId="2" borderId="5" xfId="0" applyNumberFormat="1" applyFont="1" applyFill="1" applyBorder="1" applyAlignment="1">
      <alignment horizontal="center"/>
    </xf>
    <xf numFmtId="0" fontId="0" fillId="15" borderId="5" xfId="0" applyFill="1" applyBorder="1"/>
    <xf numFmtId="1" fontId="12" fillId="15" borderId="4" xfId="0" applyNumberFormat="1" applyFont="1" applyFill="1" applyBorder="1" applyAlignment="1">
      <alignment horizontal="center"/>
    </xf>
    <xf numFmtId="0" fontId="0" fillId="2" borderId="3" xfId="0" applyFill="1" applyBorder="1" applyAlignment="1">
      <alignment horizontal="center"/>
    </xf>
    <xf numFmtId="0" fontId="0" fillId="15" borderId="66" xfId="0" applyFill="1" applyBorder="1"/>
    <xf numFmtId="1" fontId="22" fillId="2" borderId="0" xfId="0" applyNumberFormat="1" applyFont="1" applyFill="1" applyAlignment="1">
      <alignment horizontal="center"/>
    </xf>
    <xf numFmtId="0" fontId="0" fillId="15" borderId="0" xfId="0" applyFill="1" applyAlignment="1">
      <alignment horizontal="center"/>
    </xf>
    <xf numFmtId="0" fontId="0" fillId="15" borderId="62" xfId="0" applyFill="1" applyBorder="1"/>
    <xf numFmtId="1" fontId="12" fillId="15" borderId="7" xfId="0" applyNumberFormat="1" applyFont="1" applyFill="1" applyBorder="1" applyAlignment="1">
      <alignment horizontal="center"/>
    </xf>
    <xf numFmtId="1" fontId="12" fillId="15" borderId="14" xfId="0" applyNumberFormat="1" applyFont="1" applyFill="1" applyBorder="1" applyAlignment="1">
      <alignment horizontal="center"/>
    </xf>
    <xf numFmtId="0" fontId="0" fillId="15" borderId="64" xfId="0" applyFill="1" applyBorder="1"/>
    <xf numFmtId="165" fontId="12" fillId="2" borderId="10" xfId="0" applyNumberFormat="1" applyFont="1" applyFill="1" applyBorder="1" applyAlignment="1">
      <alignment horizontal="center"/>
    </xf>
    <xf numFmtId="1" fontId="11" fillId="15" borderId="10" xfId="0" applyNumberFormat="1" applyFont="1" applyFill="1" applyBorder="1" applyAlignment="1">
      <alignment horizontal="center"/>
    </xf>
    <xf numFmtId="1" fontId="12" fillId="15" borderId="9" xfId="0" applyNumberFormat="1" applyFont="1" applyFill="1" applyBorder="1" applyAlignment="1">
      <alignment horizontal="center"/>
    </xf>
    <xf numFmtId="1" fontId="12" fillId="15" borderId="15" xfId="0" applyNumberFormat="1" applyFont="1" applyFill="1" applyBorder="1" applyAlignment="1">
      <alignment horizontal="center"/>
    </xf>
    <xf numFmtId="1" fontId="0" fillId="0" borderId="10" xfId="0" applyNumberFormat="1" applyBorder="1"/>
    <xf numFmtId="0" fontId="0" fillId="0" borderId="31" xfId="0" applyBorder="1"/>
    <xf numFmtId="164" fontId="0" fillId="0" borderId="54" xfId="0" applyNumberFormat="1" applyBorder="1" applyAlignment="1">
      <alignment horizontal="center"/>
    </xf>
    <xf numFmtId="0" fontId="0" fillId="0" borderId="54" xfId="0" applyBorder="1" applyAlignment="1">
      <alignment horizontal="center"/>
    </xf>
    <xf numFmtId="164" fontId="0" fillId="2" borderId="54" xfId="0" applyNumberFormat="1" applyFill="1" applyBorder="1" applyAlignment="1">
      <alignment horizontal="center"/>
    </xf>
    <xf numFmtId="1" fontId="0" fillId="0" borderId="54" xfId="0" applyNumberFormat="1" applyBorder="1"/>
    <xf numFmtId="0" fontId="0" fillId="0" borderId="32" xfId="0" applyBorder="1"/>
    <xf numFmtId="164" fontId="0" fillId="2" borderId="10" xfId="0" applyNumberFormat="1" applyFill="1" applyBorder="1" applyAlignment="1">
      <alignment horizontal="center"/>
    </xf>
    <xf numFmtId="164" fontId="0" fillId="2" borderId="5" xfId="0" applyNumberFormat="1" applyFill="1" applyBorder="1" applyAlignment="1">
      <alignment horizontal="center"/>
    </xf>
    <xf numFmtId="164" fontId="0" fillId="0" borderId="61" xfId="0" applyNumberFormat="1" applyBorder="1" applyAlignment="1">
      <alignment horizontal="center"/>
    </xf>
    <xf numFmtId="0" fontId="53" fillId="0" borderId="2" xfId="0" applyFont="1" applyBorder="1" applyAlignment="1">
      <alignment horizontal="right"/>
    </xf>
    <xf numFmtId="0" fontId="22" fillId="0" borderId="11" xfId="0" applyFont="1" applyBorder="1" applyAlignment="1">
      <alignment horizontal="center"/>
    </xf>
    <xf numFmtId="0" fontId="53" fillId="0" borderId="2" xfId="0" applyFont="1" applyBorder="1" applyAlignment="1">
      <alignment horizontal="left"/>
    </xf>
    <xf numFmtId="164" fontId="6" fillId="0" borderId="2" xfId="0" applyNumberFormat="1" applyFont="1" applyBorder="1" applyAlignment="1">
      <alignment horizontal="left"/>
    </xf>
    <xf numFmtId="2" fontId="0" fillId="0" borderId="67" xfId="0" applyNumberFormat="1" applyBorder="1" applyAlignment="1">
      <alignment horizontal="center"/>
    </xf>
    <xf numFmtId="2" fontId="0" fillId="0" borderId="30" xfId="0" applyNumberFormat="1" applyBorder="1" applyAlignment="1">
      <alignment horizontal="center"/>
    </xf>
    <xf numFmtId="2" fontId="0" fillId="0" borderId="68" xfId="0" applyNumberFormat="1" applyBorder="1" applyAlignment="1">
      <alignment horizontal="center"/>
    </xf>
    <xf numFmtId="2" fontId="0" fillId="0" borderId="69" xfId="0" applyNumberFormat="1" applyBorder="1" applyAlignment="1">
      <alignment horizontal="center"/>
    </xf>
    <xf numFmtId="2" fontId="0" fillId="0" borderId="63" xfId="0" applyNumberFormat="1" applyBorder="1" applyAlignment="1">
      <alignment horizontal="center"/>
    </xf>
    <xf numFmtId="2" fontId="0" fillId="2" borderId="63" xfId="0" applyNumberFormat="1" applyFill="1" applyBorder="1" applyAlignment="1">
      <alignment horizontal="center"/>
    </xf>
    <xf numFmtId="0" fontId="0" fillId="0" borderId="23" xfId="0" applyBorder="1"/>
    <xf numFmtId="0" fontId="31" fillId="20" borderId="1" xfId="0" applyFont="1" applyFill="1" applyBorder="1"/>
    <xf numFmtId="165" fontId="24" fillId="20" borderId="12" xfId="0" applyNumberFormat="1" applyFont="1" applyFill="1" applyBorder="1" applyAlignment="1">
      <alignment horizontal="center"/>
    </xf>
    <xf numFmtId="2" fontId="6" fillId="20" borderId="2" xfId="0" applyNumberFormat="1" applyFont="1" applyFill="1" applyBorder="1" applyAlignment="1">
      <alignment horizontal="center"/>
    </xf>
    <xf numFmtId="0" fontId="0" fillId="20" borderId="3" xfId="0" applyFill="1" applyBorder="1"/>
    <xf numFmtId="0" fontId="26" fillId="20" borderId="4" xfId="0" applyFont="1" applyFill="1" applyBorder="1"/>
    <xf numFmtId="164" fontId="15" fillId="0" borderId="2" xfId="0" applyNumberFormat="1" applyFont="1" applyBorder="1" applyAlignment="1">
      <alignment horizontal="center"/>
    </xf>
    <xf numFmtId="1" fontId="0" fillId="2" borderId="5" xfId="0" applyNumberFormat="1" applyFill="1" applyBorder="1" applyAlignment="1">
      <alignment horizontal="center"/>
    </xf>
    <xf numFmtId="1" fontId="0" fillId="0" borderId="68" xfId="0" applyNumberFormat="1" applyBorder="1" applyAlignment="1">
      <alignment horizontal="center"/>
    </xf>
    <xf numFmtId="1" fontId="0" fillId="0" borderId="69" xfId="0" applyNumberFormat="1" applyBorder="1" applyAlignment="1">
      <alignment horizontal="center"/>
    </xf>
    <xf numFmtId="1" fontId="0" fillId="2" borderId="70" xfId="0" applyNumberFormat="1" applyFill="1" applyBorder="1" applyAlignment="1">
      <alignment horizontal="center"/>
    </xf>
    <xf numFmtId="1" fontId="0" fillId="2" borderId="61" xfId="0" applyNumberFormat="1" applyFill="1" applyBorder="1" applyAlignment="1">
      <alignment horizontal="center"/>
    </xf>
    <xf numFmtId="165" fontId="9" fillId="3" borderId="12" xfId="0" applyNumberFormat="1" applyFont="1" applyFill="1" applyBorder="1" applyAlignment="1" applyProtection="1">
      <alignment horizontal="center"/>
      <protection locked="0"/>
    </xf>
    <xf numFmtId="0" fontId="22" fillId="6" borderId="3" xfId="0" applyFont="1" applyFill="1" applyBorder="1" applyAlignment="1">
      <alignment horizontal="center"/>
    </xf>
    <xf numFmtId="0" fontId="20" fillId="0" borderId="6" xfId="0" applyFont="1" applyBorder="1"/>
    <xf numFmtId="0" fontId="20" fillId="0" borderId="8" xfId="0" applyFont="1" applyBorder="1" applyAlignment="1">
      <alignment horizontal="left"/>
    </xf>
    <xf numFmtId="0" fontId="20" fillId="0" borderId="8" xfId="0" applyFont="1" applyBorder="1"/>
    <xf numFmtId="0" fontId="20" fillId="0" borderId="11" xfId="0" applyFont="1" applyBorder="1" applyAlignment="1">
      <alignment horizontal="left"/>
    </xf>
    <xf numFmtId="0" fontId="20" fillId="0" borderId="0" xfId="0" applyFont="1" applyAlignment="1">
      <alignment horizontal="left"/>
    </xf>
    <xf numFmtId="0" fontId="64" fillId="6" borderId="1" xfId="0" applyFont="1" applyFill="1" applyBorder="1"/>
    <xf numFmtId="0" fontId="20" fillId="0" borderId="8" xfId="0" applyFont="1" applyBorder="1" applyAlignment="1">
      <alignment horizontal="center"/>
    </xf>
    <xf numFmtId="2" fontId="26" fillId="0" borderId="3" xfId="0" applyNumberFormat="1" applyFont="1" applyBorder="1" applyAlignment="1">
      <alignment horizontal="center"/>
    </xf>
    <xf numFmtId="167" fontId="9" fillId="0" borderId="10" xfId="0" applyNumberFormat="1" applyFont="1" applyBorder="1" applyAlignment="1">
      <alignment horizontal="center"/>
    </xf>
    <xf numFmtId="1" fontId="12" fillId="15" borderId="13" xfId="0" applyNumberFormat="1" applyFont="1" applyFill="1" applyBorder="1" applyAlignment="1">
      <alignment horizontal="center"/>
    </xf>
    <xf numFmtId="1" fontId="0" fillId="0" borderId="61" xfId="0" applyNumberFormat="1" applyBorder="1"/>
    <xf numFmtId="2" fontId="20" fillId="2" borderId="56" xfId="0" applyNumberFormat="1" applyFont="1" applyFill="1" applyBorder="1" applyAlignment="1">
      <alignment horizontal="center"/>
    </xf>
    <xf numFmtId="2" fontId="24" fillId="20" borderId="12" xfId="0" applyNumberFormat="1" applyFont="1" applyFill="1" applyBorder="1" applyAlignment="1">
      <alignment horizontal="center"/>
    </xf>
    <xf numFmtId="0" fontId="24" fillId="0" borderId="0" xfId="0" applyFont="1"/>
    <xf numFmtId="0" fontId="2" fillId="20" borderId="4" xfId="0" applyFont="1" applyFill="1" applyBorder="1"/>
    <xf numFmtId="0" fontId="13" fillId="0" borderId="4" xfId="0" applyFont="1" applyBorder="1"/>
    <xf numFmtId="0" fontId="12" fillId="0" borderId="7" xfId="0" applyFont="1" applyBorder="1"/>
    <xf numFmtId="0" fontId="21" fillId="6" borderId="14" xfId="0" applyFont="1" applyFill="1" applyBorder="1"/>
    <xf numFmtId="0" fontId="22" fillId="11" borderId="3" xfId="0" applyFont="1" applyFill="1" applyBorder="1" applyAlignment="1">
      <alignment horizontal="center"/>
    </xf>
    <xf numFmtId="0" fontId="22" fillId="11" borderId="1" xfId="0" applyFont="1" applyFill="1" applyBorder="1" applyAlignment="1">
      <alignment horizontal="center"/>
    </xf>
    <xf numFmtId="0" fontId="9" fillId="6" borderId="14" xfId="0" applyFont="1" applyFill="1" applyBorder="1"/>
    <xf numFmtId="0" fontId="6" fillId="6" borderId="31" xfId="0" applyFont="1" applyFill="1" applyBorder="1"/>
    <xf numFmtId="0" fontId="6" fillId="6" borderId="62" xfId="0" applyFont="1" applyFill="1" applyBorder="1"/>
    <xf numFmtId="0" fontId="6" fillId="6" borderId="0" xfId="0" applyFont="1" applyFill="1" applyAlignment="1">
      <alignment horizontal="center"/>
    </xf>
    <xf numFmtId="0" fontId="6" fillId="13" borderId="7" xfId="0" applyFont="1" applyFill="1" applyBorder="1"/>
    <xf numFmtId="0" fontId="6" fillId="13" borderId="9" xfId="0" applyFont="1" applyFill="1" applyBorder="1"/>
    <xf numFmtId="165" fontId="7" fillId="6" borderId="12" xfId="0" applyNumberFormat="1" applyFont="1" applyFill="1" applyBorder="1" applyAlignment="1">
      <alignment horizontal="center"/>
    </xf>
    <xf numFmtId="0" fontId="39" fillId="0" borderId="0" xfId="0" applyFont="1" applyAlignment="1">
      <alignment horizontal="center"/>
    </xf>
    <xf numFmtId="0" fontId="9" fillId="0" borderId="9" xfId="0" applyFont="1" applyBorder="1" applyAlignment="1">
      <alignment horizontal="center"/>
    </xf>
    <xf numFmtId="0" fontId="0" fillId="0" borderId="12" xfId="0" applyBorder="1" applyAlignment="1">
      <alignment horizontal="center"/>
    </xf>
    <xf numFmtId="2" fontId="20" fillId="0" borderId="6" xfId="0" applyNumberFormat="1" applyFont="1" applyBorder="1" applyAlignment="1">
      <alignment horizontal="center"/>
    </xf>
    <xf numFmtId="0" fontId="6" fillId="0" borderId="7" xfId="0" applyFont="1" applyBorder="1" applyAlignment="1">
      <alignment horizontal="right"/>
    </xf>
    <xf numFmtId="2" fontId="20" fillId="0" borderId="8" xfId="0" applyNumberFormat="1" applyFont="1" applyBorder="1" applyAlignment="1">
      <alignment horizontal="center"/>
    </xf>
    <xf numFmtId="2" fontId="20" fillId="0" borderId="11" xfId="0" applyNumberFormat="1" applyFont="1" applyBorder="1" applyAlignment="1">
      <alignment horizontal="center"/>
    </xf>
    <xf numFmtId="164" fontId="24" fillId="0" borderId="15" xfId="0" applyNumberFormat="1"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1" fontId="26" fillId="0" borderId="2" xfId="0" applyNumberFormat="1" applyFont="1" applyBorder="1" applyAlignment="1">
      <alignment horizontal="center"/>
    </xf>
    <xf numFmtId="0" fontId="8" fillId="0" borderId="1" xfId="0" applyFont="1" applyBorder="1"/>
    <xf numFmtId="0" fontId="8" fillId="0" borderId="2" xfId="0" applyFont="1" applyBorder="1"/>
    <xf numFmtId="0" fontId="21" fillId="6" borderId="5" xfId="0" applyFont="1" applyFill="1" applyBorder="1" applyAlignment="1">
      <alignment horizontal="center"/>
    </xf>
    <xf numFmtId="1" fontId="15" fillId="6" borderId="0" xfId="0" applyNumberFormat="1" applyFont="1" applyFill="1" applyAlignment="1">
      <alignment horizontal="center"/>
    </xf>
    <xf numFmtId="165" fontId="12" fillId="0" borderId="0" xfId="0" applyNumberFormat="1" applyFont="1" applyAlignment="1">
      <alignment horizontal="center"/>
    </xf>
    <xf numFmtId="166" fontId="0" fillId="15" borderId="6" xfId="0" applyNumberFormat="1" applyFill="1" applyBorder="1" applyAlignment="1">
      <alignment horizontal="center"/>
    </xf>
    <xf numFmtId="0" fontId="0" fillId="15" borderId="0" xfId="0" applyFill="1"/>
    <xf numFmtId="1" fontId="11" fillId="15" borderId="0" xfId="0" applyNumberFormat="1" applyFont="1" applyFill="1" applyAlignment="1">
      <alignment horizontal="center" vertical="center"/>
    </xf>
    <xf numFmtId="166" fontId="0" fillId="15" borderId="8" xfId="0" applyNumberFormat="1" applyFill="1" applyBorder="1" applyAlignment="1">
      <alignment horizontal="center"/>
    </xf>
    <xf numFmtId="1" fontId="11" fillId="0" borderId="0" xfId="0" applyNumberFormat="1" applyFont="1" applyAlignment="1">
      <alignment horizontal="center"/>
    </xf>
    <xf numFmtId="0" fontId="8" fillId="5" borderId="12" xfId="0" applyFont="1" applyFill="1" applyBorder="1" applyAlignment="1">
      <alignment horizontal="center"/>
    </xf>
    <xf numFmtId="166" fontId="0" fillId="15" borderId="11" xfId="0" applyNumberFormat="1" applyFill="1" applyBorder="1" applyAlignment="1">
      <alignment horizontal="center"/>
    </xf>
    <xf numFmtId="164" fontId="20" fillId="0" borderId="5" xfId="0" applyNumberFormat="1" applyFont="1" applyBorder="1" applyAlignment="1">
      <alignment horizontal="center"/>
    </xf>
    <xf numFmtId="168" fontId="0" fillId="0" borderId="0" xfId="0" applyNumberFormat="1" applyAlignment="1">
      <alignment horizontal="center"/>
    </xf>
    <xf numFmtId="1" fontId="11" fillId="0" borderId="8" xfId="0" applyNumberFormat="1" applyFont="1" applyBorder="1" applyAlignment="1">
      <alignment horizontal="center"/>
    </xf>
    <xf numFmtId="164" fontId="20" fillId="0" borderId="10" xfId="0" applyNumberFormat="1" applyFont="1" applyBorder="1" applyAlignment="1">
      <alignment horizontal="center"/>
    </xf>
    <xf numFmtId="2" fontId="32" fillId="0" borderId="5" xfId="0" applyNumberFormat="1" applyFont="1" applyBorder="1" applyAlignment="1">
      <alignment horizontal="center"/>
    </xf>
    <xf numFmtId="2" fontId="32" fillId="0" borderId="10" xfId="0" applyNumberFormat="1" applyFont="1" applyBorder="1" applyAlignment="1">
      <alignment horizontal="center"/>
    </xf>
    <xf numFmtId="2" fontId="0" fillId="0" borderId="12" xfId="0" applyNumberFormat="1" applyBorder="1" applyAlignment="1">
      <alignment horizontal="center"/>
    </xf>
    <xf numFmtId="165" fontId="32" fillId="0" borderId="5" xfId="0" applyNumberFormat="1" applyFont="1" applyBorder="1" applyAlignment="1">
      <alignment horizontal="center"/>
    </xf>
    <xf numFmtId="165" fontId="32" fillId="0" borderId="0" xfId="0" applyNumberFormat="1" applyFont="1" applyAlignment="1">
      <alignment horizontal="center"/>
    </xf>
    <xf numFmtId="165" fontId="32" fillId="0" borderId="10" xfId="0" applyNumberFormat="1" applyFont="1" applyBorder="1" applyAlignment="1">
      <alignment horizontal="center"/>
    </xf>
    <xf numFmtId="1" fontId="8" fillId="3" borderId="0" xfId="0" applyNumberFormat="1" applyFont="1" applyFill="1" applyAlignment="1" applyProtection="1">
      <alignment horizontal="center"/>
      <protection locked="0"/>
    </xf>
    <xf numFmtId="0" fontId="2" fillId="0" borderId="7" xfId="0" applyFont="1" applyBorder="1"/>
    <xf numFmtId="0" fontId="20" fillId="2" borderId="7" xfId="0" applyFont="1" applyFill="1" applyBorder="1"/>
    <xf numFmtId="0" fontId="20" fillId="2" borderId="8" xfId="0" applyFont="1" applyFill="1" applyBorder="1"/>
    <xf numFmtId="0" fontId="22" fillId="2" borderId="13" xfId="0" applyFont="1" applyFill="1" applyBorder="1" applyAlignment="1">
      <alignment horizontal="center"/>
    </xf>
    <xf numFmtId="0" fontId="20" fillId="2" borderId="14" xfId="0" applyFont="1" applyFill="1" applyBorder="1" applyAlignment="1">
      <alignment horizontal="left"/>
    </xf>
    <xf numFmtId="0" fontId="22" fillId="2" borderId="14" xfId="0" applyFont="1" applyFill="1" applyBorder="1" applyAlignment="1">
      <alignment horizontal="center"/>
    </xf>
    <xf numFmtId="0" fontId="20" fillId="2" borderId="14" xfId="0" applyFont="1" applyFill="1" applyBorder="1"/>
    <xf numFmtId="0" fontId="0" fillId="4" borderId="28" xfId="0" applyFill="1" applyBorder="1"/>
    <xf numFmtId="0" fontId="24" fillId="0" borderId="12" xfId="0" applyFont="1" applyBorder="1" applyAlignment="1">
      <alignment horizontal="center"/>
    </xf>
    <xf numFmtId="0" fontId="15" fillId="0" borderId="9" xfId="0" quotePrefix="1" applyFont="1" applyBorder="1" applyAlignment="1">
      <alignment horizontal="center"/>
    </xf>
    <xf numFmtId="0" fontId="18" fillId="2" borderId="0" xfId="0" applyFont="1" applyFill="1" applyAlignment="1">
      <alignment horizontal="center"/>
    </xf>
    <xf numFmtId="0" fontId="8" fillId="2" borderId="0" xfId="0" applyFont="1" applyFill="1" applyAlignment="1">
      <alignment horizontal="center"/>
    </xf>
    <xf numFmtId="0" fontId="33" fillId="2" borderId="0" xfId="0" applyFont="1" applyFill="1" applyAlignment="1">
      <alignment horizontal="center"/>
    </xf>
    <xf numFmtId="0" fontId="33" fillId="2" borderId="10" xfId="0" applyFont="1" applyFill="1" applyBorder="1" applyAlignment="1">
      <alignment horizontal="center"/>
    </xf>
    <xf numFmtId="0" fontId="8" fillId="2" borderId="10" xfId="0" applyFont="1" applyFill="1" applyBorder="1" applyAlignment="1">
      <alignment horizontal="center"/>
    </xf>
    <xf numFmtId="0" fontId="10" fillId="2" borderId="5" xfId="0" applyFont="1" applyFill="1" applyBorder="1" applyAlignment="1">
      <alignment horizontal="center"/>
    </xf>
    <xf numFmtId="1" fontId="7" fillId="0" borderId="10" xfId="0" applyNumberFormat="1" applyFont="1" applyBorder="1" applyAlignment="1">
      <alignment horizontal="center"/>
    </xf>
    <xf numFmtId="0" fontId="9" fillId="2" borderId="2" xfId="0" applyFont="1" applyFill="1" applyBorder="1" applyAlignment="1">
      <alignment horizontal="center"/>
    </xf>
    <xf numFmtId="0" fontId="9" fillId="3" borderId="7" xfId="0" applyFont="1" applyFill="1" applyBorder="1"/>
    <xf numFmtId="0" fontId="32" fillId="6" borderId="0" xfId="0" applyFont="1" applyFill="1" applyAlignment="1">
      <alignment horizontal="center"/>
    </xf>
    <xf numFmtId="165" fontId="12" fillId="2" borderId="5" xfId="0" applyNumberFormat="1" applyFont="1" applyFill="1" applyBorder="1" applyAlignment="1">
      <alignment horizontal="center"/>
    </xf>
    <xf numFmtId="165" fontId="11" fillId="0" borderId="5" xfId="0" applyNumberFormat="1" applyFont="1" applyBorder="1" applyAlignment="1">
      <alignment horizontal="center"/>
    </xf>
    <xf numFmtId="165" fontId="12" fillId="0" borderId="5" xfId="0" applyNumberFormat="1" applyFont="1" applyBorder="1" applyAlignment="1">
      <alignment horizontal="center"/>
    </xf>
    <xf numFmtId="165" fontId="11" fillId="2" borderId="5" xfId="0" applyNumberFormat="1" applyFont="1" applyFill="1" applyBorder="1" applyAlignment="1">
      <alignment horizontal="center"/>
    </xf>
    <xf numFmtId="165" fontId="14" fillId="2" borderId="10" xfId="0" applyNumberFormat="1" applyFont="1" applyFill="1" applyBorder="1" applyAlignment="1">
      <alignment horizontal="center"/>
    </xf>
    <xf numFmtId="165" fontId="14" fillId="0" borderId="10" xfId="0" applyNumberFormat="1" applyFont="1" applyBorder="1" applyAlignment="1">
      <alignment horizontal="center"/>
    </xf>
    <xf numFmtId="0" fontId="15" fillId="0" borderId="2" xfId="0" quotePrefix="1" applyFont="1" applyBorder="1" applyAlignment="1">
      <alignment horizontal="center"/>
    </xf>
    <xf numFmtId="0" fontId="15" fillId="0" borderId="10" xfId="0" quotePrefix="1" applyFont="1" applyBorder="1" applyAlignment="1">
      <alignment horizontal="center"/>
    </xf>
    <xf numFmtId="0" fontId="0" fillId="16" borderId="1" xfId="0" applyFill="1" applyBorder="1"/>
    <xf numFmtId="2" fontId="6" fillId="16" borderId="2" xfId="0" applyNumberFormat="1" applyFont="1" applyFill="1" applyBorder="1"/>
    <xf numFmtId="1" fontId="0" fillId="2" borderId="8" xfId="0" applyNumberFormat="1" applyFill="1" applyBorder="1" applyAlignment="1">
      <alignment horizontal="center"/>
    </xf>
    <xf numFmtId="2" fontId="0" fillId="2" borderId="11" xfId="0" applyNumberFormat="1" applyFill="1" applyBorder="1" applyAlignment="1">
      <alignment horizontal="center"/>
    </xf>
    <xf numFmtId="0" fontId="16" fillId="3" borderId="12" xfId="0" applyFont="1" applyFill="1" applyBorder="1" applyAlignment="1" applyProtection="1">
      <alignment horizontal="center"/>
      <protection locked="0"/>
    </xf>
    <xf numFmtId="0" fontId="55" fillId="0" borderId="0" xfId="0" applyFont="1" applyAlignment="1">
      <alignment horizontal="left"/>
    </xf>
    <xf numFmtId="0" fontId="0" fillId="2" borderId="7" xfId="0" applyFill="1" applyBorder="1" applyAlignment="1">
      <alignment horizontal="left"/>
    </xf>
    <xf numFmtId="0" fontId="0" fillId="2" borderId="8" xfId="0" applyFill="1" applyBorder="1" applyAlignment="1">
      <alignment horizontal="center"/>
    </xf>
    <xf numFmtId="0" fontId="0" fillId="2" borderId="14" xfId="0" applyFill="1" applyBorder="1" applyAlignment="1">
      <alignment horizontal="left"/>
    </xf>
    <xf numFmtId="0" fontId="8" fillId="2" borderId="14"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90" fillId="7" borderId="0" xfId="5" applyFill="1" applyAlignment="1">
      <alignment vertical="center" wrapText="1"/>
    </xf>
    <xf numFmtId="0" fontId="91" fillId="7" borderId="0" xfId="5" applyFont="1" applyFill="1" applyAlignment="1">
      <alignment horizontal="center"/>
    </xf>
    <xf numFmtId="0" fontId="92" fillId="7" borderId="87" xfId="5" applyFont="1" applyFill="1" applyBorder="1" applyAlignment="1">
      <alignment horizontal="center" vertical="center" wrapText="1"/>
    </xf>
    <xf numFmtId="0" fontId="92" fillId="7" borderId="0" xfId="5" applyFont="1" applyFill="1" applyAlignment="1">
      <alignment vertical="center" wrapText="1"/>
    </xf>
    <xf numFmtId="0" fontId="92" fillId="7" borderId="88" xfId="5" applyFont="1" applyFill="1" applyBorder="1" applyAlignment="1">
      <alignment vertical="center" wrapText="1"/>
    </xf>
    <xf numFmtId="0" fontId="90" fillId="7" borderId="0" xfId="5" applyFill="1" applyAlignment="1">
      <alignment horizontal="center" wrapText="1"/>
    </xf>
    <xf numFmtId="0" fontId="93" fillId="7" borderId="0" xfId="5" applyFont="1" applyFill="1" applyAlignment="1">
      <alignment vertical="center" wrapText="1"/>
    </xf>
    <xf numFmtId="0" fontId="94" fillId="7" borderId="0" xfId="5" applyFont="1" applyFill="1" applyAlignment="1">
      <alignment vertical="center" wrapText="1"/>
    </xf>
    <xf numFmtId="0" fontId="94" fillId="7" borderId="0" xfId="5" applyFont="1" applyFill="1" applyAlignment="1">
      <alignment horizontal="left" vertical="center" wrapText="1"/>
    </xf>
    <xf numFmtId="0" fontId="90" fillId="7" borderId="0" xfId="5" applyFill="1" applyAlignment="1">
      <alignment horizontal="left" vertical="center" wrapText="1"/>
    </xf>
    <xf numFmtId="0" fontId="81" fillId="32" borderId="0" xfId="0" applyFont="1" applyFill="1" applyAlignment="1">
      <alignment horizontal="center"/>
    </xf>
    <xf numFmtId="0" fontId="26" fillId="0" borderId="0" xfId="0" applyFont="1" applyAlignment="1">
      <alignment horizontal="center"/>
    </xf>
    <xf numFmtId="0" fontId="89" fillId="6" borderId="1" xfId="0" applyFont="1" applyFill="1" applyBorder="1" applyAlignment="1">
      <alignment horizontal="center"/>
    </xf>
    <xf numFmtId="0" fontId="89" fillId="6" borderId="2" xfId="0" applyFont="1" applyFill="1" applyBorder="1" applyAlignment="1">
      <alignment horizontal="center"/>
    </xf>
    <xf numFmtId="0" fontId="89" fillId="6" borderId="3" xfId="0" applyFont="1" applyFill="1" applyBorder="1" applyAlignment="1">
      <alignment horizontal="center"/>
    </xf>
    <xf numFmtId="0" fontId="0" fillId="0" borderId="0" xfId="0" applyAlignment="1">
      <alignment horizontal="left"/>
    </xf>
    <xf numFmtId="0" fontId="42" fillId="0" borderId="0" xfId="0" applyFont="1" applyAlignment="1">
      <alignment horizontal="center"/>
    </xf>
    <xf numFmtId="0" fontId="79" fillId="0" borderId="0" xfId="0" applyFont="1" applyAlignment="1">
      <alignment horizontal="center"/>
    </xf>
    <xf numFmtId="0" fontId="26" fillId="3" borderId="4" xfId="0" applyFont="1" applyFill="1" applyBorder="1" applyAlignment="1">
      <alignment wrapText="1"/>
    </xf>
    <xf numFmtId="0" fontId="26" fillId="3" borderId="5" xfId="0" applyFont="1" applyFill="1" applyBorder="1" applyAlignment="1">
      <alignment wrapText="1"/>
    </xf>
    <xf numFmtId="0" fontId="26" fillId="3" borderId="6" xfId="0" applyFont="1" applyFill="1" applyBorder="1" applyAlignment="1">
      <alignment wrapText="1"/>
    </xf>
    <xf numFmtId="0" fontId="6" fillId="0" borderId="1" xfId="0" quotePrefix="1" applyFont="1" applyBorder="1" applyAlignment="1">
      <alignment horizontal="center" vertical="center"/>
    </xf>
    <xf numFmtId="0" fontId="6" fillId="0" borderId="3" xfId="0" quotePrefix="1" applyFont="1" applyBorder="1" applyAlignment="1">
      <alignment horizontal="center" vertical="center"/>
    </xf>
    <xf numFmtId="0" fontId="54" fillId="0" borderId="0" xfId="0" applyFont="1" applyAlignment="1">
      <alignment horizontal="center"/>
    </xf>
    <xf numFmtId="0" fontId="7" fillId="6" borderId="1" xfId="0" applyFont="1" applyFill="1" applyBorder="1" applyAlignment="1">
      <alignment horizontal="center"/>
    </xf>
    <xf numFmtId="0" fontId="7" fillId="6" borderId="2" xfId="0" applyFont="1" applyFill="1" applyBorder="1" applyAlignment="1">
      <alignment horizontal="center"/>
    </xf>
    <xf numFmtId="0" fontId="7" fillId="6" borderId="3" xfId="0" applyFont="1" applyFill="1" applyBorder="1" applyAlignment="1">
      <alignment horizontal="center"/>
    </xf>
    <xf numFmtId="0" fontId="4" fillId="13" borderId="7" xfId="0" applyFont="1" applyFill="1" applyBorder="1" applyAlignment="1">
      <alignment wrapText="1"/>
    </xf>
    <xf numFmtId="0" fontId="26" fillId="13" borderId="0" xfId="0" applyFont="1" applyFill="1" applyAlignment="1">
      <alignment wrapText="1"/>
    </xf>
    <xf numFmtId="0" fontId="26" fillId="13" borderId="8" xfId="0" applyFont="1" applyFill="1" applyBorder="1" applyAlignment="1">
      <alignment wrapText="1"/>
    </xf>
    <xf numFmtId="0" fontId="31" fillId="0" borderId="10" xfId="0" applyFont="1" applyBorder="1" applyAlignment="1">
      <alignment horizontal="center"/>
    </xf>
    <xf numFmtId="49" fontId="22" fillId="6" borderId="1" xfId="0" applyNumberFormat="1" applyFont="1" applyFill="1" applyBorder="1" applyAlignment="1">
      <alignment horizontal="center"/>
    </xf>
    <xf numFmtId="49" fontId="22" fillId="6" borderId="2" xfId="0" applyNumberFormat="1" applyFont="1" applyFill="1" applyBorder="1" applyAlignment="1">
      <alignment horizontal="center"/>
    </xf>
    <xf numFmtId="49" fontId="22" fillId="6" borderId="3" xfId="0" applyNumberFormat="1" applyFont="1" applyFill="1" applyBorder="1" applyAlignment="1">
      <alignment horizontal="center"/>
    </xf>
    <xf numFmtId="0" fontId="75" fillId="0" borderId="0" xfId="0" applyFont="1" applyAlignment="1">
      <alignment horizontal="center"/>
    </xf>
    <xf numFmtId="49" fontId="9" fillId="3" borderId="1" xfId="0" applyNumberFormat="1" applyFont="1" applyFill="1" applyBorder="1" applyAlignment="1" applyProtection="1">
      <alignment horizontal="left" vertical="center"/>
      <protection locked="0"/>
    </xf>
    <xf numFmtId="49" fontId="9" fillId="3" borderId="2" xfId="0" applyNumberFormat="1" applyFont="1" applyFill="1" applyBorder="1" applyAlignment="1" applyProtection="1">
      <alignment horizontal="left" vertical="center"/>
      <protection locked="0"/>
    </xf>
    <xf numFmtId="49" fontId="9" fillId="3" borderId="3" xfId="0" applyNumberFormat="1" applyFont="1" applyFill="1" applyBorder="1" applyAlignment="1" applyProtection="1">
      <alignment horizontal="left" vertical="center"/>
      <protection locked="0"/>
    </xf>
    <xf numFmtId="0" fontId="0" fillId="26" borderId="9" xfId="0" applyFill="1" applyBorder="1" applyAlignment="1">
      <alignment horizontal="left"/>
    </xf>
    <xf numFmtId="0" fontId="0" fillId="26" borderId="11" xfId="0" applyFill="1" applyBorder="1" applyAlignment="1">
      <alignment horizontal="left"/>
    </xf>
    <xf numFmtId="0" fontId="23" fillId="6" borderId="1" xfId="0" applyFont="1" applyFill="1" applyBorder="1" applyAlignment="1">
      <alignment horizontal="center"/>
    </xf>
    <xf numFmtId="0" fontId="23" fillId="6" borderId="3" xfId="0" applyFont="1" applyFill="1" applyBorder="1" applyAlignment="1">
      <alignment horizontal="center"/>
    </xf>
    <xf numFmtId="0" fontId="23" fillId="6" borderId="2" xfId="0" applyFont="1" applyFill="1" applyBorder="1" applyAlignment="1">
      <alignment horizontal="center"/>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80" fillId="0" borderId="0" xfId="0" applyFont="1" applyAlignment="1">
      <alignment horizontal="center"/>
    </xf>
    <xf numFmtId="0" fontId="0" fillId="26" borderId="4" xfId="0" applyFill="1" applyBorder="1" applyAlignment="1">
      <alignment horizontal="left"/>
    </xf>
    <xf numFmtId="0" fontId="0" fillId="26" borderId="6" xfId="0" applyFill="1" applyBorder="1" applyAlignment="1">
      <alignment horizontal="left"/>
    </xf>
    <xf numFmtId="0" fontId="0" fillId="26" borderId="7" xfId="0" applyFill="1" applyBorder="1" applyAlignment="1">
      <alignment horizontal="left"/>
    </xf>
    <xf numFmtId="0" fontId="0" fillId="26" borderId="8" xfId="0" applyFill="1" applyBorder="1" applyAlignment="1">
      <alignment horizontal="left"/>
    </xf>
    <xf numFmtId="0" fontId="0" fillId="0" borderId="74" xfId="0" applyBorder="1" applyAlignment="1">
      <alignment horizontal="left"/>
    </xf>
    <xf numFmtId="0" fontId="0" fillId="0" borderId="68" xfId="0" applyBorder="1" applyAlignment="1">
      <alignment horizontal="center"/>
    </xf>
    <xf numFmtId="0" fontId="0" fillId="0" borderId="56"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1" xfId="0" applyBorder="1" applyAlignment="1">
      <alignment horizontal="center"/>
    </xf>
    <xf numFmtId="0" fontId="0" fillId="0" borderId="28" xfId="0" applyBorder="1" applyAlignment="1">
      <alignment horizontal="center"/>
    </xf>
    <xf numFmtId="0" fontId="0" fillId="0" borderId="80" xfId="0" applyBorder="1" applyAlignment="1">
      <alignment horizontal="left"/>
    </xf>
    <xf numFmtId="0" fontId="7" fillId="6" borderId="1" xfId="0" applyFont="1" applyFill="1" applyBorder="1" applyAlignment="1">
      <alignment horizontal="left"/>
    </xf>
    <xf numFmtId="0" fontId="7" fillId="6" borderId="2" xfId="0" applyFont="1" applyFill="1" applyBorder="1" applyAlignment="1">
      <alignment horizontal="left"/>
    </xf>
    <xf numFmtId="0" fontId="7" fillId="6" borderId="2" xfId="0" applyFont="1" applyFill="1" applyBorder="1" applyAlignment="1">
      <alignment horizontal="right"/>
    </xf>
    <xf numFmtId="0" fontId="7" fillId="6" borderId="3" xfId="0" applyFont="1" applyFill="1" applyBorder="1" applyAlignment="1">
      <alignment horizontal="right"/>
    </xf>
    <xf numFmtId="0" fontId="0" fillId="0" borderId="67" xfId="0" applyBorder="1" applyAlignment="1">
      <alignment horizontal="left"/>
    </xf>
    <xf numFmtId="0" fontId="0" fillId="0" borderId="30" xfId="0" applyBorder="1" applyAlignment="1">
      <alignment horizontal="left"/>
    </xf>
    <xf numFmtId="0" fontId="58" fillId="11" borderId="5" xfId="0" applyFont="1" applyFill="1" applyBorder="1" applyAlignment="1">
      <alignment horizontal="center"/>
    </xf>
    <xf numFmtId="1" fontId="42" fillId="12" borderId="0" xfId="0" applyNumberFormat="1" applyFont="1" applyFill="1" applyAlignment="1">
      <alignment horizontal="center"/>
    </xf>
    <xf numFmtId="0" fontId="0" fillId="11" borderId="0" xfId="0" applyFill="1" applyAlignment="1">
      <alignment horizontal="left"/>
    </xf>
    <xf numFmtId="1" fontId="62" fillId="11" borderId="0" xfId="0" applyNumberFormat="1" applyFont="1" applyFill="1" applyAlignment="1">
      <alignment horizontal="center"/>
    </xf>
    <xf numFmtId="1" fontId="42" fillId="11" borderId="0" xfId="0" applyNumberFormat="1" applyFont="1" applyFill="1" applyAlignment="1">
      <alignment horizontal="center"/>
    </xf>
    <xf numFmtId="0" fontId="6" fillId="0" borderId="0" xfId="0" applyFont="1" applyAlignment="1">
      <alignment horizontal="left"/>
    </xf>
    <xf numFmtId="0" fontId="6" fillId="0" borderId="74" xfId="0" applyFont="1" applyBorder="1" applyAlignment="1">
      <alignment horizontal="left"/>
    </xf>
    <xf numFmtId="0" fontId="0" fillId="3" borderId="70" xfId="0" applyFill="1" applyBorder="1" applyAlignment="1" applyProtection="1">
      <alignment horizontal="center"/>
      <protection locked="0"/>
    </xf>
    <xf numFmtId="0" fontId="0" fillId="3" borderId="61" xfId="0" applyFill="1" applyBorder="1" applyAlignment="1" applyProtection="1">
      <alignment horizontal="center"/>
      <protection locked="0"/>
    </xf>
    <xf numFmtId="0" fontId="0" fillId="3" borderId="28" xfId="0" applyFill="1" applyBorder="1" applyAlignment="1" applyProtection="1">
      <alignment horizontal="center"/>
      <protection locked="0"/>
    </xf>
    <xf numFmtId="0" fontId="42" fillId="12" borderId="0" xfId="0" applyFont="1" applyFill="1" applyAlignment="1">
      <alignment horizontal="center"/>
    </xf>
    <xf numFmtId="0" fontId="6" fillId="0" borderId="0" xfId="0" applyFont="1" applyAlignment="1">
      <alignment horizontal="left" vertical="center"/>
    </xf>
    <xf numFmtId="0" fontId="6" fillId="0" borderId="74" xfId="0" applyFont="1" applyBorder="1" applyAlignment="1">
      <alignment horizontal="left" vertical="center"/>
    </xf>
    <xf numFmtId="0" fontId="6" fillId="7" borderId="70" xfId="0" applyFont="1" applyFill="1" applyBorder="1" applyAlignment="1">
      <alignment horizontal="center"/>
    </xf>
    <xf numFmtId="0" fontId="6" fillId="7" borderId="61" xfId="0" applyFont="1" applyFill="1" applyBorder="1" applyAlignment="1">
      <alignment horizontal="center"/>
    </xf>
    <xf numFmtId="0" fontId="6" fillId="7" borderId="28" xfId="0" applyFont="1" applyFill="1" applyBorder="1" applyAlignment="1">
      <alignment horizontal="center"/>
    </xf>
    <xf numFmtId="0" fontId="0" fillId="0" borderId="0" xfId="0" applyAlignment="1">
      <alignment horizontal="left" vertical="center"/>
    </xf>
    <xf numFmtId="0" fontId="0" fillId="0" borderId="74" xfId="0" applyBorder="1" applyAlignment="1">
      <alignment horizontal="left" vertical="center"/>
    </xf>
    <xf numFmtId="0" fontId="0" fillId="7" borderId="70" xfId="0" applyFill="1" applyBorder="1" applyAlignment="1">
      <alignment horizontal="center"/>
    </xf>
    <xf numFmtId="0" fontId="0" fillId="7" borderId="61" xfId="0" applyFill="1" applyBorder="1" applyAlignment="1">
      <alignment horizontal="center"/>
    </xf>
    <xf numFmtId="0" fontId="0" fillId="7" borderId="28" xfId="0" applyFill="1" applyBorder="1" applyAlignment="1">
      <alignment horizontal="center"/>
    </xf>
    <xf numFmtId="0" fontId="8" fillId="3" borderId="29" xfId="0" applyFont="1" applyFill="1" applyBorder="1" applyAlignment="1" applyProtection="1">
      <alignment horizontal="center"/>
      <protection locked="0"/>
    </xf>
    <xf numFmtId="0" fontId="7" fillId="6" borderId="3" xfId="0" applyFont="1" applyFill="1" applyBorder="1" applyAlignment="1">
      <alignment horizontal="left"/>
    </xf>
    <xf numFmtId="0" fontId="22" fillId="6" borderId="1" xfId="0" applyFont="1" applyFill="1" applyBorder="1" applyAlignment="1">
      <alignment horizontal="left"/>
    </xf>
    <xf numFmtId="0" fontId="22" fillId="6" borderId="2" xfId="0" applyFont="1" applyFill="1" applyBorder="1" applyAlignment="1">
      <alignment horizontal="left"/>
    </xf>
    <xf numFmtId="0" fontId="22" fillId="6" borderId="3" xfId="0" applyFont="1" applyFill="1" applyBorder="1" applyAlignment="1">
      <alignment horizontal="left"/>
    </xf>
    <xf numFmtId="0" fontId="6" fillId="0" borderId="68" xfId="0" applyFont="1" applyBorder="1" applyAlignment="1">
      <alignment horizontal="center"/>
    </xf>
    <xf numFmtId="0" fontId="6" fillId="0" borderId="56" xfId="0" applyFont="1" applyBorder="1" applyAlignment="1">
      <alignment horizontal="center"/>
    </xf>
    <xf numFmtId="0" fontId="6" fillId="0" borderId="69" xfId="0" applyFont="1" applyBorder="1" applyAlignment="1">
      <alignment horizontal="center"/>
    </xf>
    <xf numFmtId="0" fontId="6" fillId="0" borderId="70" xfId="0" applyFont="1" applyBorder="1" applyAlignment="1">
      <alignment horizontal="center"/>
    </xf>
    <xf numFmtId="0" fontId="6" fillId="0" borderId="61" xfId="0" applyFont="1" applyBorder="1" applyAlignment="1">
      <alignment horizontal="center"/>
    </xf>
    <xf numFmtId="0" fontId="6" fillId="0" borderId="28" xfId="0" applyFont="1" applyBorder="1" applyAlignment="1">
      <alignment horizontal="center"/>
    </xf>
    <xf numFmtId="0" fontId="0" fillId="12" borderId="67" xfId="0" applyFill="1" applyBorder="1" applyAlignment="1">
      <alignment horizontal="center"/>
    </xf>
    <xf numFmtId="0" fontId="0" fillId="12" borderId="59" xfId="0" applyFill="1" applyBorder="1" applyAlignment="1">
      <alignment horizontal="center"/>
    </xf>
    <xf numFmtId="0" fontId="7" fillId="0" borderId="56" xfId="0" applyFont="1" applyBorder="1" applyAlignment="1">
      <alignment horizontal="center"/>
    </xf>
    <xf numFmtId="165" fontId="0" fillId="0" borderId="70" xfId="0" applyNumberFormat="1" applyBorder="1" applyAlignment="1">
      <alignment horizontal="center"/>
    </xf>
    <xf numFmtId="165" fontId="0" fillId="0" borderId="61" xfId="0" applyNumberFormat="1" applyBorder="1" applyAlignment="1">
      <alignment horizontal="center"/>
    </xf>
    <xf numFmtId="165" fontId="0" fillId="0" borderId="28" xfId="0" applyNumberFormat="1" applyBorder="1" applyAlignment="1">
      <alignment horizontal="center"/>
    </xf>
    <xf numFmtId="0" fontId="15" fillId="0" borderId="80" xfId="0" applyFont="1" applyBorder="1" applyAlignment="1">
      <alignment horizontal="center"/>
    </xf>
    <xf numFmtId="0" fontId="15" fillId="0" borderId="0" xfId="0" applyFont="1" applyAlignment="1">
      <alignment horizontal="center"/>
    </xf>
    <xf numFmtId="0" fontId="23" fillId="0" borderId="0" xfId="0" applyFont="1" applyAlignment="1">
      <alignment horizontal="center"/>
    </xf>
    <xf numFmtId="0" fontId="22" fillId="6" borderId="1" xfId="0" applyFont="1" applyFill="1" applyBorder="1" applyAlignment="1">
      <alignment horizontal="center" vertical="center"/>
    </xf>
    <xf numFmtId="0" fontId="22" fillId="6" borderId="2" xfId="0" applyFont="1" applyFill="1" applyBorder="1" applyAlignment="1">
      <alignment horizontal="center" vertical="center"/>
    </xf>
    <xf numFmtId="0" fontId="22" fillId="6" borderId="3" xfId="0" applyFont="1" applyFill="1" applyBorder="1" applyAlignment="1">
      <alignment horizontal="center" vertical="center"/>
    </xf>
    <xf numFmtId="0" fontId="6" fillId="13" borderId="2" xfId="0" applyFont="1" applyFill="1" applyBorder="1" applyAlignment="1">
      <alignment horizontal="center"/>
    </xf>
    <xf numFmtId="0" fontId="6" fillId="13" borderId="3" xfId="0" applyFont="1" applyFill="1" applyBorder="1" applyAlignment="1">
      <alignment horizontal="center"/>
    </xf>
    <xf numFmtId="0" fontId="7" fillId="12" borderId="70" xfId="0" applyFont="1" applyFill="1" applyBorder="1" applyAlignment="1">
      <alignment horizontal="center"/>
    </xf>
    <xf numFmtId="0" fontId="7" fillId="12" borderId="28" xfId="0" applyFont="1" applyFill="1" applyBorder="1" applyAlignment="1">
      <alignment horizontal="center"/>
    </xf>
    <xf numFmtId="0" fontId="6" fillId="6" borderId="29" xfId="0" applyFont="1" applyFill="1" applyBorder="1" applyAlignment="1">
      <alignment horizontal="center"/>
    </xf>
    <xf numFmtId="165" fontId="7" fillId="12" borderId="70" xfId="0" applyNumberFormat="1" applyFont="1" applyFill="1" applyBorder="1" applyAlignment="1">
      <alignment horizontal="center"/>
    </xf>
    <xf numFmtId="165" fontId="7" fillId="12" borderId="61" xfId="0" applyNumberFormat="1" applyFont="1" applyFill="1" applyBorder="1" applyAlignment="1">
      <alignment horizontal="center"/>
    </xf>
    <xf numFmtId="165" fontId="7" fillId="12" borderId="28" xfId="0" applyNumberFormat="1" applyFont="1" applyFill="1" applyBorder="1" applyAlignment="1">
      <alignment horizontal="center"/>
    </xf>
    <xf numFmtId="0" fontId="22" fillId="6" borderId="70" xfId="0" applyFont="1" applyFill="1" applyBorder="1" applyAlignment="1">
      <alignment horizontal="center" vertical="center"/>
    </xf>
    <xf numFmtId="0" fontId="22" fillId="6" borderId="61" xfId="0" applyFont="1" applyFill="1" applyBorder="1" applyAlignment="1">
      <alignment horizontal="center" vertical="center"/>
    </xf>
    <xf numFmtId="0" fontId="22" fillId="6" borderId="28" xfId="0" applyFont="1" applyFill="1" applyBorder="1" applyAlignment="1">
      <alignment horizontal="center" vertical="center"/>
    </xf>
    <xf numFmtId="0" fontId="0" fillId="0" borderId="0" xfId="0" applyAlignment="1">
      <alignment horizontal="center"/>
    </xf>
    <xf numFmtId="0" fontId="15" fillId="6" borderId="1" xfId="0" applyFont="1" applyFill="1" applyBorder="1" applyAlignment="1">
      <alignment horizontal="center"/>
    </xf>
    <xf numFmtId="0" fontId="15" fillId="6" borderId="2" xfId="0" applyFont="1" applyFill="1" applyBorder="1" applyAlignment="1">
      <alignment horizontal="center"/>
    </xf>
    <xf numFmtId="0" fontId="15" fillId="6" borderId="3" xfId="0" applyFont="1" applyFill="1" applyBorder="1" applyAlignment="1">
      <alignment horizontal="center"/>
    </xf>
    <xf numFmtId="0" fontId="7" fillId="12" borderId="68" xfId="0" applyFont="1" applyFill="1" applyBorder="1" applyAlignment="1">
      <alignment horizontal="center"/>
    </xf>
    <xf numFmtId="0" fontId="7" fillId="12" borderId="69" xfId="0" applyFont="1" applyFill="1" applyBorder="1" applyAlignment="1">
      <alignment horizontal="center"/>
    </xf>
    <xf numFmtId="0" fontId="6" fillId="6" borderId="75" xfId="0" applyFont="1" applyFill="1" applyBorder="1" applyAlignment="1">
      <alignment horizontal="center"/>
    </xf>
    <xf numFmtId="0" fontId="6" fillId="6" borderId="76" xfId="0" applyFont="1" applyFill="1" applyBorder="1" applyAlignment="1">
      <alignment horizontal="center"/>
    </xf>
    <xf numFmtId="0" fontId="6" fillId="6" borderId="77" xfId="0" applyFont="1" applyFill="1" applyBorder="1" applyAlignment="1">
      <alignment horizontal="center"/>
    </xf>
    <xf numFmtId="165" fontId="7" fillId="12" borderId="1" xfId="0" applyNumberFormat="1" applyFont="1" applyFill="1" applyBorder="1" applyAlignment="1">
      <alignment horizontal="center"/>
    </xf>
    <xf numFmtId="165" fontId="7" fillId="12" borderId="2" xfId="0" applyNumberFormat="1" applyFont="1" applyFill="1" applyBorder="1" applyAlignment="1">
      <alignment horizontal="center"/>
    </xf>
    <xf numFmtId="165" fontId="7" fillId="12" borderId="3" xfId="0" applyNumberFormat="1" applyFont="1" applyFill="1" applyBorder="1" applyAlignment="1">
      <alignment horizontal="center"/>
    </xf>
    <xf numFmtId="0" fontId="22" fillId="0" borderId="0" xfId="0" applyFont="1" applyAlignment="1">
      <alignment horizontal="center" vertic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14" xfId="0" applyFont="1" applyBorder="1" applyAlignment="1">
      <alignment horizontal="center" vertical="center" wrapText="1"/>
    </xf>
    <xf numFmtId="0" fontId="6" fillId="0" borderId="0" xfId="0" applyFont="1" applyAlignment="1">
      <alignment horizontal="center"/>
    </xf>
    <xf numFmtId="0" fontId="0" fillId="0" borderId="5" xfId="0" applyBorder="1" applyAlignment="1">
      <alignment horizontal="left"/>
    </xf>
    <xf numFmtId="0" fontId="6" fillId="0" borderId="9" xfId="0" applyFont="1" applyBorder="1" applyAlignment="1">
      <alignment horizontal="center"/>
    </xf>
    <xf numFmtId="0" fontId="6" fillId="0" borderId="11" xfId="0" applyFont="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0" fillId="0" borderId="0" xfId="0"/>
    <xf numFmtId="0" fontId="0" fillId="0" borderId="7" xfId="0" applyBorder="1" applyAlignment="1">
      <alignment horizontal="left"/>
    </xf>
    <xf numFmtId="0" fontId="0" fillId="0" borderId="8" xfId="0" applyBorder="1" applyAlignment="1">
      <alignment horizontal="left"/>
    </xf>
    <xf numFmtId="0" fontId="6" fillId="3" borderId="0" xfId="0" applyFont="1" applyFill="1" applyAlignment="1">
      <alignment horizontal="center"/>
    </xf>
    <xf numFmtId="0" fontId="6" fillId="3" borderId="8" xfId="0" applyFont="1" applyFill="1" applyBorder="1" applyAlignment="1">
      <alignment horizontal="center"/>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7" fillId="11" borderId="9" xfId="0" applyFont="1" applyFill="1" applyBorder="1" applyAlignment="1">
      <alignment horizontal="center"/>
    </xf>
    <xf numFmtId="0" fontId="7" fillId="11" borderId="11" xfId="0" applyFont="1" applyFill="1" applyBorder="1" applyAlignment="1">
      <alignment horizont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7" fillId="4" borderId="1" xfId="0" applyFont="1" applyFill="1" applyBorder="1" applyAlignment="1">
      <alignment horizontal="center"/>
    </xf>
    <xf numFmtId="0" fontId="7" fillId="4" borderId="2" xfId="0" applyFont="1" applyFill="1" applyBorder="1" applyAlignment="1">
      <alignment horizontal="center"/>
    </xf>
    <xf numFmtId="0" fontId="7" fillId="4" borderId="3" xfId="0" applyFont="1" applyFill="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6" xfId="0" applyFont="1" applyFill="1" applyBorder="1" applyAlignment="1">
      <alignment horizontal="center"/>
    </xf>
    <xf numFmtId="0" fontId="15" fillId="0" borderId="4" xfId="0" applyFont="1" applyBorder="1" applyAlignment="1">
      <alignment horizontal="center"/>
    </xf>
    <xf numFmtId="0" fontId="15" fillId="0" borderId="6" xfId="0" applyFont="1" applyBorder="1" applyAlignment="1">
      <alignment horizontal="center"/>
    </xf>
    <xf numFmtId="0" fontId="15" fillId="12" borderId="9" xfId="0" applyFont="1" applyFill="1" applyBorder="1" applyAlignment="1">
      <alignment horizontal="center"/>
    </xf>
    <xf numFmtId="0" fontId="15" fillId="12" borderId="11" xfId="0" applyFont="1" applyFill="1" applyBorder="1" applyAlignment="1">
      <alignment horizontal="center"/>
    </xf>
    <xf numFmtId="0" fontId="15" fillId="0" borderId="9" xfId="0" applyFont="1" applyBorder="1" applyAlignment="1">
      <alignment horizontal="center"/>
    </xf>
    <xf numFmtId="0" fontId="15" fillId="0" borderId="11" xfId="0" applyFont="1" applyBorder="1" applyAlignment="1">
      <alignment horizontal="center"/>
    </xf>
    <xf numFmtId="0" fontId="15" fillId="12" borderId="8" xfId="0" applyFont="1" applyFill="1" applyBorder="1" applyAlignment="1">
      <alignment horizontal="center"/>
    </xf>
    <xf numFmtId="0" fontId="7" fillId="14" borderId="1" xfId="0" applyFont="1" applyFill="1" applyBorder="1" applyAlignment="1">
      <alignment horizontal="center"/>
    </xf>
    <xf numFmtId="0" fontId="7" fillId="14" borderId="2" xfId="0" applyFont="1" applyFill="1" applyBorder="1" applyAlignment="1">
      <alignment horizontal="center"/>
    </xf>
    <xf numFmtId="0" fontId="7" fillId="14" borderId="3" xfId="0" applyFont="1" applyFill="1" applyBorder="1" applyAlignment="1">
      <alignment horizontal="center"/>
    </xf>
    <xf numFmtId="0" fontId="6" fillId="5" borderId="1" xfId="0" applyFont="1" applyFill="1" applyBorder="1" applyAlignment="1">
      <alignment horizontal="center"/>
    </xf>
    <xf numFmtId="0" fontId="6" fillId="5" borderId="3" xfId="0" applyFont="1" applyFill="1" applyBorder="1" applyAlignment="1">
      <alignment horizontal="center"/>
    </xf>
    <xf numFmtId="0" fontId="6" fillId="0" borderId="8" xfId="0" applyFont="1" applyBorder="1" applyAlignment="1">
      <alignment horizontal="center"/>
    </xf>
    <xf numFmtId="0" fontId="15" fillId="0" borderId="13" xfId="0" applyFont="1" applyBorder="1" applyAlignment="1">
      <alignment horizontal="left"/>
    </xf>
    <xf numFmtId="0" fontId="15" fillId="0" borderId="14" xfId="0" applyFont="1" applyBorder="1" applyAlignment="1">
      <alignment horizontal="left"/>
    </xf>
    <xf numFmtId="0" fontId="15" fillId="0" borderId="15" xfId="0" applyFont="1" applyBorder="1" applyAlignment="1">
      <alignment horizontal="left"/>
    </xf>
    <xf numFmtId="0" fontId="15" fillId="0" borderId="0" xfId="0" applyFont="1" applyAlignment="1">
      <alignment horizontal="left"/>
    </xf>
    <xf numFmtId="0" fontId="15" fillId="0" borderId="7" xfId="0" applyFont="1" applyBorder="1" applyAlignment="1">
      <alignment horizontal="center"/>
    </xf>
    <xf numFmtId="164" fontId="6" fillId="14" borderId="1" xfId="0" applyNumberFormat="1" applyFont="1" applyFill="1" applyBorder="1" applyAlignment="1">
      <alignment horizontal="center"/>
    </xf>
    <xf numFmtId="164" fontId="6" fillId="14" borderId="2" xfId="0" applyNumberFormat="1" applyFont="1" applyFill="1" applyBorder="1" applyAlignment="1">
      <alignment horizontal="center"/>
    </xf>
    <xf numFmtId="164" fontId="6" fillId="14" borderId="3" xfId="0" applyNumberFormat="1" applyFont="1" applyFill="1" applyBorder="1" applyAlignment="1">
      <alignment horizontal="center"/>
    </xf>
    <xf numFmtId="0" fontId="15" fillId="0" borderId="10" xfId="0" applyFont="1" applyBorder="1" applyAlignment="1">
      <alignment horizontal="center"/>
    </xf>
    <xf numFmtId="0" fontId="7" fillId="12" borderId="7" xfId="0" applyFont="1" applyFill="1" applyBorder="1" applyAlignment="1">
      <alignment horizontal="center"/>
    </xf>
    <xf numFmtId="0" fontId="7" fillId="12" borderId="8" xfId="0" applyFont="1" applyFill="1" applyBorder="1" applyAlignment="1">
      <alignment horizontal="center"/>
    </xf>
    <xf numFmtId="0" fontId="21" fillId="5" borderId="0" xfId="0" applyFont="1" applyFill="1" applyAlignment="1">
      <alignment horizontal="center" wrapText="1"/>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21" fillId="5" borderId="13" xfId="0" quotePrefix="1" applyFont="1" applyFill="1" applyBorder="1" applyAlignment="1">
      <alignment horizontal="center" vertical="center" wrapText="1"/>
    </xf>
    <xf numFmtId="0" fontId="21" fillId="5" borderId="14" xfId="0" quotePrefix="1" applyFont="1" applyFill="1" applyBorder="1" applyAlignment="1">
      <alignment horizontal="center" vertical="center" wrapText="1"/>
    </xf>
    <xf numFmtId="0" fontId="21" fillId="5" borderId="15" xfId="0" quotePrefix="1" applyFont="1" applyFill="1" applyBorder="1" applyAlignment="1">
      <alignment horizontal="center" vertical="center" wrapText="1"/>
    </xf>
    <xf numFmtId="0" fontId="6" fillId="14" borderId="9" xfId="0" applyFont="1" applyFill="1" applyBorder="1" applyAlignment="1">
      <alignment horizontal="center"/>
    </xf>
    <xf numFmtId="0" fontId="6" fillId="14" borderId="10" xfId="0" applyFont="1" applyFill="1" applyBorder="1" applyAlignment="1">
      <alignment horizontal="center"/>
    </xf>
    <xf numFmtId="0" fontId="6" fillId="14" borderId="11" xfId="0" applyFont="1" applyFill="1" applyBorder="1" applyAlignment="1">
      <alignment horizontal="center"/>
    </xf>
    <xf numFmtId="0" fontId="6" fillId="0" borderId="7" xfId="0" applyFont="1" applyBorder="1" applyAlignment="1">
      <alignment horizontal="center"/>
    </xf>
    <xf numFmtId="16" fontId="0" fillId="0" borderId="0" xfId="0" quotePrefix="1" applyNumberForma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39" fillId="17" borderId="1" xfId="0" applyFont="1" applyFill="1" applyBorder="1" applyAlignment="1">
      <alignment horizontal="center"/>
    </xf>
    <xf numFmtId="0" fontId="39" fillId="17" borderId="3" xfId="0" applyFont="1" applyFill="1" applyBorder="1" applyAlignment="1">
      <alignment horizontal="center"/>
    </xf>
    <xf numFmtId="0" fontId="6" fillId="0" borderId="31" xfId="0" applyFont="1" applyBorder="1" applyAlignment="1">
      <alignment horizontal="center" wrapText="1"/>
    </xf>
    <xf numFmtId="0" fontId="6" fillId="0" borderId="32" xfId="0" applyFont="1" applyBorder="1" applyAlignment="1">
      <alignment horizontal="center" wrapText="1"/>
    </xf>
    <xf numFmtId="0" fontId="0" fillId="0" borderId="7" xfId="0" applyBorder="1" applyAlignment="1">
      <alignment horizontal="center"/>
    </xf>
    <xf numFmtId="0" fontId="0" fillId="0" borderId="8" xfId="0" applyBorder="1" applyAlignment="1">
      <alignment horizontal="center"/>
    </xf>
    <xf numFmtId="0" fontId="15" fillId="6" borderId="2" xfId="0" applyFont="1" applyFill="1" applyBorder="1" applyAlignment="1">
      <alignment horizontal="left"/>
    </xf>
    <xf numFmtId="0" fontId="15" fillId="6" borderId="3" xfId="0" applyFont="1" applyFill="1" applyBorder="1" applyAlignment="1">
      <alignment horizontal="left"/>
    </xf>
    <xf numFmtId="0" fontId="9" fillId="0" borderId="0" xfId="0" applyFont="1" applyAlignment="1">
      <alignment horizontal="center"/>
    </xf>
    <xf numFmtId="0" fontId="6" fillId="17" borderId="9" xfId="0" applyFont="1" applyFill="1" applyBorder="1" applyAlignment="1">
      <alignment horizontal="left"/>
    </xf>
    <xf numFmtId="0" fontId="6" fillId="17" borderId="10" xfId="0" applyFont="1" applyFill="1" applyBorder="1" applyAlignment="1">
      <alignment horizontal="left"/>
    </xf>
    <xf numFmtId="0" fontId="6" fillId="17" borderId="11" xfId="0" applyFont="1" applyFill="1" applyBorder="1" applyAlignment="1">
      <alignment horizontal="left"/>
    </xf>
    <xf numFmtId="0" fontId="6" fillId="6" borderId="1"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0" fillId="0" borderId="0" xfId="0" applyAlignment="1" applyProtection="1">
      <alignment horizontal="center"/>
      <protection locked="0"/>
    </xf>
    <xf numFmtId="0" fontId="6" fillId="0" borderId="0" xfId="0" applyFont="1" applyAlignment="1" applyProtection="1">
      <alignment horizontal="center"/>
      <protection locked="0"/>
    </xf>
    <xf numFmtId="0" fontId="39" fillId="0" borderId="1" xfId="0" applyFont="1" applyBorder="1" applyAlignment="1">
      <alignment horizontal="center"/>
    </xf>
    <xf numFmtId="0" fontId="39" fillId="0" borderId="2" xfId="0" applyFont="1" applyBorder="1" applyAlignment="1">
      <alignment horizontal="center"/>
    </xf>
    <xf numFmtId="0" fontId="6" fillId="6" borderId="4" xfId="0" applyFont="1" applyFill="1" applyBorder="1" applyAlignment="1">
      <alignment horizontal="center"/>
    </xf>
    <xf numFmtId="0" fontId="6" fillId="6" borderId="6" xfId="0" applyFont="1" applyFill="1" applyBorder="1" applyAlignment="1">
      <alignment horizontal="center"/>
    </xf>
    <xf numFmtId="0" fontId="15" fillId="6" borderId="4" xfId="0" applyFont="1" applyFill="1" applyBorder="1" applyAlignment="1">
      <alignment horizontal="center"/>
    </xf>
    <xf numFmtId="0" fontId="15" fillId="6" borderId="6" xfId="0" applyFont="1" applyFill="1" applyBorder="1" applyAlignment="1">
      <alignment horizontal="center"/>
    </xf>
    <xf numFmtId="0" fontId="15" fillId="12" borderId="7" xfId="0" applyFont="1" applyFill="1" applyBorder="1" applyAlignment="1">
      <alignment horizontal="center"/>
    </xf>
    <xf numFmtId="0" fontId="8" fillId="0" borderId="0" xfId="0" applyFont="1" applyAlignment="1">
      <alignment horizontal="center"/>
    </xf>
    <xf numFmtId="0" fontId="15" fillId="0" borderId="1" xfId="0" applyFont="1" applyBorder="1" applyAlignment="1">
      <alignment horizontal="center"/>
    </xf>
    <xf numFmtId="0" fontId="15" fillId="0" borderId="3" xfId="0" applyFont="1" applyBorder="1" applyAlignment="1">
      <alignment horizontal="center"/>
    </xf>
    <xf numFmtId="165" fontId="37" fillId="0" borderId="9" xfId="0" applyNumberFormat="1" applyFont="1" applyBorder="1" applyAlignment="1">
      <alignment horizontal="center"/>
    </xf>
    <xf numFmtId="165" fontId="37" fillId="0" borderId="11" xfId="0" applyNumberFormat="1" applyFont="1" applyBorder="1" applyAlignment="1">
      <alignment horizontal="center"/>
    </xf>
    <xf numFmtId="0" fontId="6" fillId="0" borderId="5" xfId="0" applyFont="1" applyBorder="1" applyAlignment="1">
      <alignment horizontal="left"/>
    </xf>
    <xf numFmtId="0" fontId="9" fillId="5" borderId="4" xfId="0" applyFont="1" applyFill="1" applyBorder="1" applyAlignment="1">
      <alignment horizontal="center"/>
    </xf>
    <xf numFmtId="0" fontId="9" fillId="5" borderId="6" xfId="0" applyFont="1" applyFill="1" applyBorder="1" applyAlignment="1">
      <alignment horizontal="center"/>
    </xf>
    <xf numFmtId="0" fontId="9" fillId="5" borderId="9" xfId="0" applyFont="1" applyFill="1" applyBorder="1" applyAlignment="1">
      <alignment horizontal="center"/>
    </xf>
    <xf numFmtId="0" fontId="9" fillId="5" borderId="11" xfId="0" applyFont="1" applyFill="1" applyBorder="1" applyAlignment="1">
      <alignment horizontal="center"/>
    </xf>
    <xf numFmtId="0" fontId="6" fillId="0" borderId="2" xfId="0" applyFont="1" applyBorder="1" applyAlignment="1">
      <alignment horizontal="left"/>
    </xf>
    <xf numFmtId="2" fontId="24" fillId="16" borderId="1" xfId="0" applyNumberFormat="1" applyFont="1" applyFill="1" applyBorder="1" applyAlignment="1">
      <alignment horizontal="center"/>
    </xf>
    <xf numFmtId="2" fontId="24" fillId="16" borderId="3" xfId="0" applyNumberFormat="1" applyFont="1" applyFill="1" applyBorder="1" applyAlignment="1">
      <alignment horizontal="center"/>
    </xf>
    <xf numFmtId="0" fontId="24" fillId="0" borderId="0" xfId="0" applyFont="1" applyAlignment="1">
      <alignment horizontal="center"/>
    </xf>
    <xf numFmtId="0" fontId="8" fillId="5" borderId="1" xfId="0" applyFont="1" applyFill="1" applyBorder="1" applyAlignment="1">
      <alignment horizontal="right"/>
    </xf>
    <xf numFmtId="0" fontId="8" fillId="5" borderId="3" xfId="0" applyFont="1" applyFill="1" applyBorder="1" applyAlignment="1">
      <alignment horizontal="right"/>
    </xf>
    <xf numFmtId="0" fontId="22" fillId="0" borderId="0" xfId="0" applyFont="1" applyAlignment="1">
      <alignment horizontal="center"/>
    </xf>
    <xf numFmtId="0" fontId="6" fillId="0" borderId="4" xfId="0" applyFont="1" applyBorder="1" applyAlignment="1">
      <alignment horizontal="left"/>
    </xf>
    <xf numFmtId="0" fontId="6" fillId="0" borderId="6" xfId="0" applyFont="1" applyBorder="1" applyAlignment="1">
      <alignment horizontal="left"/>
    </xf>
    <xf numFmtId="0" fontId="6" fillId="0" borderId="4" xfId="0" applyFont="1" applyBorder="1" applyAlignment="1">
      <alignment horizontal="right"/>
    </xf>
    <xf numFmtId="0" fontId="6" fillId="0" borderId="6" xfId="0" applyFont="1" applyBorder="1" applyAlignment="1">
      <alignment horizontal="right"/>
    </xf>
    <xf numFmtId="164" fontId="24" fillId="0" borderId="2" xfId="0" applyNumberFormat="1" applyFont="1" applyBorder="1" applyAlignment="1">
      <alignment horizontal="center"/>
    </xf>
    <xf numFmtId="0" fontId="21" fillId="19" borderId="1" xfId="0" applyFont="1" applyFill="1" applyBorder="1" applyAlignment="1">
      <alignment horizontal="center"/>
    </xf>
    <xf numFmtId="0" fontId="21" fillId="19" borderId="3" xfId="0" applyFont="1" applyFill="1" applyBorder="1" applyAlignment="1">
      <alignment horizontal="center"/>
    </xf>
    <xf numFmtId="0" fontId="15" fillId="14" borderId="1" xfId="0" applyFont="1" applyFill="1" applyBorder="1" applyAlignment="1">
      <alignment horizontal="center"/>
    </xf>
    <xf numFmtId="0" fontId="15" fillId="14" borderId="2" xfId="0" applyFont="1" applyFill="1" applyBorder="1" applyAlignment="1">
      <alignment horizontal="center"/>
    </xf>
    <xf numFmtId="0" fontId="15" fillId="14" borderId="3" xfId="0" applyFont="1" applyFill="1" applyBorder="1" applyAlignment="1">
      <alignment horizontal="center"/>
    </xf>
    <xf numFmtId="0" fontId="15" fillId="4" borderId="10" xfId="0" applyFont="1" applyFill="1" applyBorder="1" applyAlignment="1">
      <alignment horizontal="left"/>
    </xf>
    <xf numFmtId="0" fontId="15" fillId="4" borderId="11" xfId="0" applyFont="1" applyFill="1" applyBorder="1" applyAlignment="1">
      <alignment horizontal="left"/>
    </xf>
    <xf numFmtId="0" fontId="37" fillId="0" borderId="11" xfId="0" applyFont="1" applyBorder="1" applyAlignment="1">
      <alignment horizontal="center"/>
    </xf>
    <xf numFmtId="0" fontId="8" fillId="5" borderId="1" xfId="0" applyFont="1" applyFill="1" applyBorder="1" applyAlignment="1">
      <alignment horizontal="center"/>
    </xf>
    <xf numFmtId="0" fontId="8" fillId="5" borderId="3" xfId="0" applyFont="1" applyFill="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5" fillId="0" borderId="8" xfId="0" applyFont="1" applyBorder="1" applyAlignment="1">
      <alignment horizontal="center"/>
    </xf>
    <xf numFmtId="164" fontId="24" fillId="0" borderId="1" xfId="0" applyNumberFormat="1" applyFont="1" applyBorder="1" applyAlignment="1">
      <alignment horizontal="center"/>
    </xf>
    <xf numFmtId="164" fontId="24" fillId="0" borderId="3" xfId="0" applyNumberFormat="1" applyFont="1" applyBorder="1" applyAlignment="1">
      <alignment horizontal="center"/>
    </xf>
    <xf numFmtId="0" fontId="21" fillId="4" borderId="1" xfId="0" applyFont="1" applyFill="1" applyBorder="1" applyAlignment="1">
      <alignment horizontal="center"/>
    </xf>
    <xf numFmtId="0" fontId="21" fillId="4" borderId="3" xfId="0" applyFont="1" applyFill="1" applyBorder="1" applyAlignment="1">
      <alignment horizontal="center"/>
    </xf>
    <xf numFmtId="0" fontId="15" fillId="4" borderId="2" xfId="0" applyFont="1" applyFill="1" applyBorder="1" applyAlignment="1">
      <alignment horizontal="left"/>
    </xf>
    <xf numFmtId="0" fontId="15" fillId="4" borderId="3" xfId="0" applyFont="1" applyFill="1" applyBorder="1" applyAlignment="1">
      <alignment horizontal="left"/>
    </xf>
    <xf numFmtId="0" fontId="56" fillId="0" borderId="31" xfId="0" applyFont="1" applyBorder="1" applyAlignment="1">
      <alignment horizontal="center"/>
    </xf>
    <xf numFmtId="0" fontId="56" fillId="0" borderId="32" xfId="0" applyFont="1" applyBorder="1" applyAlignment="1">
      <alignment horizontal="center"/>
    </xf>
    <xf numFmtId="0" fontId="38" fillId="12" borderId="7" xfId="0" applyFont="1" applyFill="1" applyBorder="1" applyAlignment="1">
      <alignment horizontal="center"/>
    </xf>
    <xf numFmtId="0" fontId="38" fillId="12" borderId="8" xfId="0" applyFont="1" applyFill="1" applyBorder="1" applyAlignment="1">
      <alignment horizontal="center"/>
    </xf>
    <xf numFmtId="165" fontId="37" fillId="0" borderId="0" xfId="0" applyNumberFormat="1" applyFont="1" applyAlignment="1">
      <alignment horizontal="center"/>
    </xf>
    <xf numFmtId="0" fontId="37" fillId="0" borderId="0" xfId="0" applyFont="1" applyAlignment="1">
      <alignment horizontal="center"/>
    </xf>
    <xf numFmtId="0" fontId="8" fillId="5" borderId="4" xfId="0" applyFont="1" applyFill="1" applyBorder="1" applyAlignment="1">
      <alignment horizontal="center"/>
    </xf>
    <xf numFmtId="0" fontId="8" fillId="5" borderId="6" xfId="0" applyFont="1" applyFill="1" applyBorder="1" applyAlignment="1">
      <alignment horizontal="center"/>
    </xf>
    <xf numFmtId="165" fontId="24" fillId="16" borderId="1" xfId="0" applyNumberFormat="1" applyFont="1" applyFill="1" applyBorder="1" applyAlignment="1">
      <alignment horizontal="center"/>
    </xf>
    <xf numFmtId="165" fontId="24" fillId="16" borderId="3" xfId="0" applyNumberFormat="1" applyFont="1" applyFill="1" applyBorder="1" applyAlignment="1">
      <alignment horizontal="center"/>
    </xf>
    <xf numFmtId="0" fontId="8" fillId="5" borderId="9" xfId="0" applyFont="1" applyFill="1" applyBorder="1" applyAlignment="1">
      <alignment horizontal="center"/>
    </xf>
    <xf numFmtId="0" fontId="8" fillId="5" borderId="11" xfId="0" applyFont="1" applyFill="1" applyBorder="1" applyAlignment="1">
      <alignment horizontal="center"/>
    </xf>
    <xf numFmtId="1" fontId="22" fillId="4" borderId="1" xfId="0" applyNumberFormat="1" applyFont="1" applyFill="1" applyBorder="1" applyAlignment="1">
      <alignment horizontal="center"/>
    </xf>
    <xf numFmtId="1" fontId="22" fillId="4" borderId="2" xfId="0" applyNumberFormat="1" applyFont="1" applyFill="1" applyBorder="1" applyAlignment="1">
      <alignment horizontal="center"/>
    </xf>
    <xf numFmtId="1" fontId="22" fillId="4" borderId="3" xfId="0" applyNumberFormat="1" applyFont="1" applyFill="1" applyBorder="1" applyAlignment="1">
      <alignment horizontal="center"/>
    </xf>
    <xf numFmtId="0" fontId="53" fillId="0" borderId="2" xfId="0" applyFont="1" applyBorder="1" applyAlignment="1">
      <alignment horizontal="right"/>
    </xf>
    <xf numFmtId="165" fontId="24" fillId="20" borderId="1" xfId="0" applyNumberFormat="1" applyFont="1" applyFill="1" applyBorder="1" applyAlignment="1">
      <alignment horizontal="center"/>
    </xf>
    <xf numFmtId="165" fontId="24" fillId="20" borderId="3" xfId="0" applyNumberFormat="1" applyFont="1" applyFill="1" applyBorder="1" applyAlignment="1">
      <alignment horizontal="center"/>
    </xf>
    <xf numFmtId="0" fontId="15" fillId="0" borderId="1" xfId="0" applyFont="1" applyBorder="1" applyAlignment="1">
      <alignment horizontal="left"/>
    </xf>
    <xf numFmtId="0" fontId="15" fillId="0" borderId="3" xfId="0" applyFont="1" applyBorder="1" applyAlignment="1">
      <alignment horizontal="left"/>
    </xf>
    <xf numFmtId="1" fontId="52" fillId="0" borderId="2" xfId="0" applyNumberFormat="1" applyFont="1" applyBorder="1" applyAlignment="1">
      <alignment horizontal="center"/>
    </xf>
    <xf numFmtId="0" fontId="16" fillId="3" borderId="1" xfId="0" applyFont="1" applyFill="1" applyBorder="1" applyAlignment="1" applyProtection="1">
      <alignment horizontal="center"/>
      <protection locked="0"/>
    </xf>
    <xf numFmtId="0" fontId="16" fillId="3" borderId="3" xfId="0" applyFont="1" applyFill="1" applyBorder="1" applyAlignment="1" applyProtection="1">
      <alignment horizontal="center"/>
      <protection locked="0"/>
    </xf>
    <xf numFmtId="165" fontId="9" fillId="3" borderId="1" xfId="0" applyNumberFormat="1" applyFont="1" applyFill="1" applyBorder="1" applyAlignment="1" applyProtection="1">
      <alignment horizontal="center"/>
      <protection locked="0"/>
    </xf>
    <xf numFmtId="165" fontId="9" fillId="3" borderId="3" xfId="0" applyNumberFormat="1" applyFont="1" applyFill="1" applyBorder="1" applyAlignment="1" applyProtection="1">
      <alignment horizontal="center"/>
      <protection locked="0"/>
    </xf>
    <xf numFmtId="1" fontId="12" fillId="15" borderId="4" xfId="0" applyNumberFormat="1" applyFont="1" applyFill="1" applyBorder="1" applyAlignment="1">
      <alignment horizontal="center"/>
    </xf>
    <xf numFmtId="1" fontId="12" fillId="15" borderId="6" xfId="0" applyNumberFormat="1" applyFont="1" applyFill="1" applyBorder="1" applyAlignment="1">
      <alignment horizontal="center"/>
    </xf>
    <xf numFmtId="0" fontId="6" fillId="0" borderId="1" xfId="0" applyFont="1" applyBorder="1" applyAlignment="1">
      <alignment horizontal="left"/>
    </xf>
    <xf numFmtId="0" fontId="6" fillId="0" borderId="3" xfId="0" applyFont="1" applyBorder="1" applyAlignment="1">
      <alignment horizontal="left"/>
    </xf>
    <xf numFmtId="0" fontId="22" fillId="0" borderId="0" xfId="0" applyFont="1" applyAlignment="1">
      <alignment horizontal="left"/>
    </xf>
    <xf numFmtId="0" fontId="22" fillId="6" borderId="1" xfId="0" applyFont="1" applyFill="1" applyBorder="1" applyAlignment="1">
      <alignment horizontal="center"/>
    </xf>
    <xf numFmtId="0" fontId="22" fillId="6" borderId="2" xfId="0" applyFont="1" applyFill="1" applyBorder="1" applyAlignment="1">
      <alignment horizontal="center"/>
    </xf>
    <xf numFmtId="0" fontId="22" fillId="6" borderId="3" xfId="0" applyFont="1" applyFill="1" applyBorder="1" applyAlignment="1">
      <alignment horizontal="center"/>
    </xf>
    <xf numFmtId="0" fontId="21" fillId="0" borderId="0" xfId="0" applyFont="1" applyAlignment="1">
      <alignment horizontal="center"/>
    </xf>
    <xf numFmtId="0" fontId="49" fillId="0" borderId="59" xfId="0" applyFont="1" applyBorder="1" applyAlignment="1">
      <alignment horizontal="center" wrapText="1"/>
    </xf>
    <xf numFmtId="0" fontId="49" fillId="0" borderId="56" xfId="0" applyFont="1" applyBorder="1" applyAlignment="1">
      <alignment horizontal="center" wrapText="1"/>
    </xf>
    <xf numFmtId="1" fontId="38" fillId="0" borderId="2" xfId="0" applyNumberFormat="1" applyFont="1" applyBorder="1" applyAlignment="1">
      <alignment horizontal="center"/>
    </xf>
    <xf numFmtId="0" fontId="16" fillId="3" borderId="1" xfId="0" applyFont="1" applyFill="1" applyBorder="1" applyAlignment="1">
      <alignment horizontal="center"/>
    </xf>
    <xf numFmtId="0" fontId="16" fillId="3" borderId="3" xfId="0" applyFont="1" applyFill="1" applyBorder="1" applyAlignment="1">
      <alignment horizontal="center"/>
    </xf>
    <xf numFmtId="165" fontId="9" fillId="3" borderId="1" xfId="0" applyNumberFormat="1" applyFont="1" applyFill="1" applyBorder="1" applyAlignment="1">
      <alignment horizontal="center"/>
    </xf>
    <xf numFmtId="165" fontId="9" fillId="3" borderId="3" xfId="0" applyNumberFormat="1" applyFont="1" applyFill="1" applyBorder="1" applyAlignment="1">
      <alignment horizontal="center"/>
    </xf>
    <xf numFmtId="2" fontId="24" fillId="20" borderId="1" xfId="0" applyNumberFormat="1" applyFont="1" applyFill="1" applyBorder="1" applyAlignment="1">
      <alignment horizontal="center"/>
    </xf>
    <xf numFmtId="2" fontId="24" fillId="20" borderId="3" xfId="0" applyNumberFormat="1" applyFont="1" applyFill="1" applyBorder="1" applyAlignment="1">
      <alignment horizontal="center"/>
    </xf>
    <xf numFmtId="1" fontId="16" fillId="0" borderId="0" xfId="0" applyNumberFormat="1" applyFont="1" applyAlignment="1">
      <alignment horizontal="center"/>
    </xf>
    <xf numFmtId="1" fontId="9" fillId="0" borderId="0" xfId="0" applyNumberFormat="1" applyFont="1" applyAlignment="1">
      <alignment horizontal="center"/>
    </xf>
    <xf numFmtId="2" fontId="24" fillId="0" borderId="0" xfId="0" applyNumberFormat="1" applyFont="1" applyAlignment="1">
      <alignment horizontal="center"/>
    </xf>
    <xf numFmtId="164" fontId="24" fillId="0" borderId="0" xfId="0" applyNumberFormat="1" applyFont="1" applyAlignment="1">
      <alignment horizontal="center"/>
    </xf>
    <xf numFmtId="0" fontId="22" fillId="11" borderId="2" xfId="0" applyFont="1" applyFill="1" applyBorder="1" applyAlignment="1">
      <alignment horizontal="center"/>
    </xf>
    <xf numFmtId="0" fontId="22" fillId="11" borderId="3" xfId="0" applyFont="1" applyFill="1" applyBorder="1" applyAlignment="1">
      <alignment horizontal="center"/>
    </xf>
    <xf numFmtId="0" fontId="22" fillId="11" borderId="1" xfId="0" applyFont="1" applyFill="1" applyBorder="1" applyAlignment="1">
      <alignment horizontal="center"/>
    </xf>
    <xf numFmtId="1" fontId="22" fillId="0" borderId="0" xfId="0" applyNumberFormat="1" applyFont="1" applyAlignment="1">
      <alignment horizontal="center"/>
    </xf>
    <xf numFmtId="165" fontId="12" fillId="0" borderId="0" xfId="0" applyNumberFormat="1" applyFont="1" applyAlignment="1">
      <alignment horizontal="center"/>
    </xf>
    <xf numFmtId="1" fontId="52" fillId="0" borderId="0" xfId="0" applyNumberFormat="1" applyFont="1" applyAlignment="1">
      <alignment horizontal="center"/>
    </xf>
    <xf numFmtId="0" fontId="16" fillId="0" borderId="0" xfId="0" applyFont="1" applyAlignment="1">
      <alignment horizontal="center"/>
    </xf>
    <xf numFmtId="0" fontId="15" fillId="0" borderId="4" xfId="0" applyFont="1" applyBorder="1" applyAlignment="1">
      <alignment horizontal="center" vertical="center"/>
    </xf>
    <xf numFmtId="0" fontId="15" fillId="0" borderId="9" xfId="0" applyFont="1" applyBorder="1" applyAlignment="1">
      <alignment horizontal="center" vertical="center"/>
    </xf>
    <xf numFmtId="0" fontId="7" fillId="4" borderId="0" xfId="0" applyFont="1" applyFill="1" applyAlignment="1">
      <alignment horizontal="center"/>
    </xf>
    <xf numFmtId="2" fontId="6" fillId="16" borderId="1" xfId="0" applyNumberFormat="1" applyFont="1" applyFill="1" applyBorder="1" applyAlignment="1">
      <alignment horizontal="center"/>
    </xf>
    <xf numFmtId="2" fontId="6" fillId="16" borderId="3" xfId="0" applyNumberFormat="1" applyFont="1" applyFill="1" applyBorder="1" applyAlignment="1">
      <alignment horizontal="center"/>
    </xf>
    <xf numFmtId="0" fontId="6" fillId="0" borderId="54" xfId="0" applyFont="1" applyBorder="1" applyAlignment="1">
      <alignment horizontal="center"/>
    </xf>
    <xf numFmtId="0" fontId="6" fillId="0" borderId="1" xfId="0" applyFont="1" applyBorder="1" applyAlignment="1">
      <alignment horizontal="right"/>
    </xf>
    <xf numFmtId="0" fontId="6" fillId="0" borderId="2" xfId="0" applyFont="1" applyBorder="1" applyAlignment="1">
      <alignment horizontal="right"/>
    </xf>
    <xf numFmtId="0" fontId="6" fillId="0" borderId="3" xfId="0" applyFont="1" applyBorder="1" applyAlignment="1">
      <alignment horizontal="right"/>
    </xf>
    <xf numFmtId="164" fontId="24" fillId="0" borderId="5" xfId="0" applyNumberFormat="1" applyFont="1" applyBorder="1" applyAlignment="1">
      <alignment horizontal="center"/>
    </xf>
    <xf numFmtId="0" fontId="24" fillId="0" borderId="5" xfId="0" applyFont="1" applyBorder="1" applyAlignment="1">
      <alignment horizontal="center"/>
    </xf>
    <xf numFmtId="0" fontId="22" fillId="6" borderId="4" xfId="0" applyFont="1" applyFill="1" applyBorder="1" applyAlignment="1">
      <alignment horizontal="left"/>
    </xf>
    <xf numFmtId="0" fontId="0" fillId="0" borderId="2" xfId="0" applyBorder="1" applyAlignment="1">
      <alignment horizontal="center"/>
    </xf>
  </cellXfs>
  <cellStyles count="6">
    <cellStyle name="Comma" xfId="1" builtinId="3"/>
    <cellStyle name="Hyperlink" xfId="3" builtinId="8"/>
    <cellStyle name="Neutral" xfId="4" builtinId="28"/>
    <cellStyle name="Normal" xfId="0" builtinId="0"/>
    <cellStyle name="Normal 2 5" xfId="5"/>
    <cellStyle name="Percent" xfId="2" builtinId="5"/>
  </cellStyles>
  <dxfs count="1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dxf>
    <dxf>
      <font>
        <b/>
        <i val="0"/>
        <color rgb="FFFF0000"/>
      </font>
    </dxf>
    <dxf>
      <font>
        <color theme="0"/>
      </font>
    </dxf>
    <dxf>
      <font>
        <color rgb="FFFF0000"/>
      </font>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color rgb="FFFF0000"/>
      </font>
      <fill>
        <patternFill>
          <bgColor rgb="FFFF0000"/>
        </patternFill>
      </fill>
    </dxf>
    <dxf>
      <fill>
        <patternFill>
          <bgColor rgb="FFFF0000"/>
        </patternFill>
      </fill>
    </dxf>
    <dxf>
      <font>
        <color rgb="FF006100"/>
      </font>
      <fill>
        <patternFill>
          <bgColor rgb="FFC6EFCE"/>
        </patternFill>
      </fill>
    </dxf>
    <dxf>
      <fill>
        <patternFill>
          <bgColor rgb="FFFF0000"/>
        </patternFill>
      </fill>
    </dxf>
  </dxfs>
  <tableStyles count="0" defaultTableStyle="TableStyleMedium2" defaultPivotStyle="PivotStyleLight16"/>
  <colors>
    <mruColors>
      <color rgb="FFFFCCCC"/>
      <color rgb="FFFF66FF"/>
      <color rgb="FFB50B9D"/>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8.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8.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18.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5.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2.jpeg"/><Relationship Id="rId1" Type="http://schemas.openxmlformats.org/officeDocument/2006/relationships/image" Target="../media/image11.pn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gif"/></Relationships>
</file>

<file path=xl/drawings/_rels/drawing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19</xdr:col>
      <xdr:colOff>207792</xdr:colOff>
      <xdr:row>11</xdr:row>
      <xdr:rowOff>21909</xdr:rowOff>
    </xdr:from>
    <xdr:to>
      <xdr:col>25</xdr:col>
      <xdr:colOff>265459</xdr:colOff>
      <xdr:row>12</xdr:row>
      <xdr:rowOff>97308</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a:off x="11606042" y="2413742"/>
          <a:ext cx="3772417" cy="276483"/>
        </a:xfrm>
        <a:custGeom>
          <a:avLst/>
          <a:gdLst>
            <a:gd name="T0" fmla="*/ 0 w 5328"/>
            <a:gd name="T1" fmla="*/ 67 h 400"/>
            <a:gd name="T2" fmla="*/ 67 w 5328"/>
            <a:gd name="T3" fmla="*/ 0 h 400"/>
            <a:gd name="T4" fmla="*/ 5262 w 5328"/>
            <a:gd name="T5" fmla="*/ 0 h 400"/>
            <a:gd name="T6" fmla="*/ 5328 w 5328"/>
            <a:gd name="T7" fmla="*/ 67 h 400"/>
            <a:gd name="T8" fmla="*/ 5328 w 5328"/>
            <a:gd name="T9" fmla="*/ 334 h 400"/>
            <a:gd name="T10" fmla="*/ 5262 w 5328"/>
            <a:gd name="T11" fmla="*/ 400 h 400"/>
            <a:gd name="T12" fmla="*/ 67 w 5328"/>
            <a:gd name="T13" fmla="*/ 400 h 400"/>
            <a:gd name="T14" fmla="*/ 0 w 5328"/>
            <a:gd name="T15" fmla="*/ 334 h 400"/>
            <a:gd name="T16" fmla="*/ 0 w 5328"/>
            <a:gd name="T17" fmla="*/ 67 h 4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328" h="400">
              <a:moveTo>
                <a:pt x="0" y="67"/>
              </a:moveTo>
              <a:cubicBezTo>
                <a:pt x="0" y="30"/>
                <a:pt x="30" y="0"/>
                <a:pt x="67" y="0"/>
              </a:cubicBezTo>
              <a:lnTo>
                <a:pt x="5262" y="0"/>
              </a:lnTo>
              <a:cubicBezTo>
                <a:pt x="5299" y="0"/>
                <a:pt x="5328" y="30"/>
                <a:pt x="5328" y="67"/>
              </a:cubicBezTo>
              <a:lnTo>
                <a:pt x="5328" y="334"/>
              </a:lnTo>
              <a:cubicBezTo>
                <a:pt x="5328" y="371"/>
                <a:pt x="5299" y="400"/>
                <a:pt x="5262" y="400"/>
              </a:cubicBezTo>
              <a:lnTo>
                <a:pt x="67" y="400"/>
              </a:lnTo>
              <a:cubicBezTo>
                <a:pt x="30" y="400"/>
                <a:pt x="0" y="371"/>
                <a:pt x="0" y="334"/>
              </a:cubicBezTo>
              <a:lnTo>
                <a:pt x="0" y="67"/>
              </a:lnTo>
              <a:close/>
            </a:path>
          </a:pathLst>
        </a:custGeom>
        <a:solidFill>
          <a:srgbClr val="00B050"/>
        </a:solidFill>
        <a:ln w="0">
          <a:solidFill>
            <a:srgbClr val="000000"/>
          </a:solidFill>
          <a:prstDash val="solid"/>
          <a:round/>
          <a:headEnd/>
          <a:tailEnd/>
        </a:ln>
      </xdr:spPr>
    </xdr:sp>
    <xdr:clientData/>
  </xdr:twoCellAnchor>
  <xdr:twoCellAnchor>
    <xdr:from>
      <xdr:col>19</xdr:col>
      <xdr:colOff>207792</xdr:colOff>
      <xdr:row>11</xdr:row>
      <xdr:rowOff>21909</xdr:rowOff>
    </xdr:from>
    <xdr:to>
      <xdr:col>25</xdr:col>
      <xdr:colOff>265459</xdr:colOff>
      <xdr:row>12</xdr:row>
      <xdr:rowOff>97308</xdr:rowOff>
    </xdr:to>
    <xdr:sp macro="" textlink="">
      <xdr:nvSpPr>
        <xdr:cNvPr id="4" name="Freeform 6">
          <a:extLst>
            <a:ext uri="{FF2B5EF4-FFF2-40B4-BE49-F238E27FC236}">
              <a16:creationId xmlns:a16="http://schemas.microsoft.com/office/drawing/2014/main" id="{00000000-0008-0000-0000-000004000000}"/>
            </a:ext>
          </a:extLst>
        </xdr:cNvPr>
        <xdr:cNvSpPr>
          <a:spLocks/>
        </xdr:cNvSpPr>
      </xdr:nvSpPr>
      <xdr:spPr bwMode="auto">
        <a:xfrm>
          <a:off x="11606042" y="2413742"/>
          <a:ext cx="3772417" cy="276483"/>
        </a:xfrm>
        <a:custGeom>
          <a:avLst/>
          <a:gdLst>
            <a:gd name="T0" fmla="*/ 0 w 5328"/>
            <a:gd name="T1" fmla="*/ 67 h 400"/>
            <a:gd name="T2" fmla="*/ 67 w 5328"/>
            <a:gd name="T3" fmla="*/ 0 h 400"/>
            <a:gd name="T4" fmla="*/ 5262 w 5328"/>
            <a:gd name="T5" fmla="*/ 0 h 400"/>
            <a:gd name="T6" fmla="*/ 5328 w 5328"/>
            <a:gd name="T7" fmla="*/ 67 h 400"/>
            <a:gd name="T8" fmla="*/ 5328 w 5328"/>
            <a:gd name="T9" fmla="*/ 334 h 400"/>
            <a:gd name="T10" fmla="*/ 5262 w 5328"/>
            <a:gd name="T11" fmla="*/ 400 h 400"/>
            <a:gd name="T12" fmla="*/ 67 w 5328"/>
            <a:gd name="T13" fmla="*/ 400 h 400"/>
            <a:gd name="T14" fmla="*/ 0 w 5328"/>
            <a:gd name="T15" fmla="*/ 334 h 400"/>
            <a:gd name="T16" fmla="*/ 0 w 5328"/>
            <a:gd name="T17" fmla="*/ 67 h 4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328" h="400">
              <a:moveTo>
                <a:pt x="0" y="67"/>
              </a:moveTo>
              <a:cubicBezTo>
                <a:pt x="0" y="30"/>
                <a:pt x="30" y="0"/>
                <a:pt x="67" y="0"/>
              </a:cubicBezTo>
              <a:lnTo>
                <a:pt x="5262" y="0"/>
              </a:lnTo>
              <a:cubicBezTo>
                <a:pt x="5299" y="0"/>
                <a:pt x="5328" y="30"/>
                <a:pt x="5328" y="67"/>
              </a:cubicBezTo>
              <a:lnTo>
                <a:pt x="5328" y="334"/>
              </a:lnTo>
              <a:cubicBezTo>
                <a:pt x="5328" y="371"/>
                <a:pt x="5299" y="400"/>
                <a:pt x="5262" y="400"/>
              </a:cubicBezTo>
              <a:lnTo>
                <a:pt x="67" y="400"/>
              </a:lnTo>
              <a:cubicBezTo>
                <a:pt x="30" y="400"/>
                <a:pt x="0" y="371"/>
                <a:pt x="0" y="334"/>
              </a:cubicBezTo>
              <a:lnTo>
                <a:pt x="0" y="67"/>
              </a:lnTo>
              <a:close/>
            </a:path>
          </a:pathLst>
        </a:custGeom>
        <a:noFill/>
        <a:ln w="9525" cap="flat">
          <a:solidFill>
            <a:srgbClr val="00B05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205619</xdr:colOff>
      <xdr:row>11</xdr:row>
      <xdr:rowOff>20482</xdr:rowOff>
    </xdr:from>
    <xdr:to>
      <xdr:col>25</xdr:col>
      <xdr:colOff>114361</xdr:colOff>
      <xdr:row>12</xdr:row>
      <xdr:rowOff>96762</xdr:rowOff>
    </xdr:to>
    <xdr:sp macro="" textlink="">
      <xdr:nvSpPr>
        <xdr:cNvPr id="5" name="Rectangle 7">
          <a:extLst>
            <a:ext uri="{FF2B5EF4-FFF2-40B4-BE49-F238E27FC236}">
              <a16:creationId xmlns:a16="http://schemas.microsoft.com/office/drawing/2014/main" id="{00000000-0008-0000-0000-000005000000}"/>
            </a:ext>
          </a:extLst>
        </xdr:cNvPr>
        <xdr:cNvSpPr>
          <a:spLocks noChangeArrowheads="1"/>
        </xdr:cNvSpPr>
      </xdr:nvSpPr>
      <xdr:spPr bwMode="auto">
        <a:xfrm>
          <a:off x="11859381" y="2451625"/>
          <a:ext cx="3265170" cy="281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ctr" anchorCtr="1">
          <a:noAutofit/>
        </a:bodyPr>
        <a:lstStyle/>
        <a:p>
          <a:pPr algn="ctr" rtl="0">
            <a:defRPr sz="1000"/>
          </a:pPr>
          <a:r>
            <a:rPr lang="en-US" sz="1800" b="0" i="0" u="none" strike="noStrike" baseline="0">
              <a:solidFill>
                <a:srgbClr val="FFFFFF"/>
              </a:solidFill>
              <a:latin typeface="Calibri"/>
              <a:cs typeface="Calibri"/>
            </a:rPr>
            <a:t>MOVEMENT &amp; FACILITY PMs</a:t>
          </a:r>
        </a:p>
      </xdr:txBody>
    </xdr:sp>
    <xdr:clientData/>
  </xdr:twoCellAnchor>
  <xdr:twoCellAnchor>
    <xdr:from>
      <xdr:col>15</xdr:col>
      <xdr:colOff>213520</xdr:colOff>
      <xdr:row>18</xdr:row>
      <xdr:rowOff>40501</xdr:rowOff>
    </xdr:from>
    <xdr:to>
      <xdr:col>18</xdr:col>
      <xdr:colOff>259738</xdr:colOff>
      <xdr:row>19</xdr:row>
      <xdr:rowOff>182256</xdr:rowOff>
    </xdr:to>
    <xdr:sp macro="" textlink="">
      <xdr:nvSpPr>
        <xdr:cNvPr id="6" name="Freeform 8">
          <a:extLst>
            <a:ext uri="{FF2B5EF4-FFF2-40B4-BE49-F238E27FC236}">
              <a16:creationId xmlns:a16="http://schemas.microsoft.com/office/drawing/2014/main" id="{00000000-0008-0000-0000-000006000000}"/>
            </a:ext>
          </a:extLst>
        </xdr:cNvPr>
        <xdr:cNvSpPr>
          <a:spLocks/>
        </xdr:cNvSpPr>
      </xdr:nvSpPr>
      <xdr:spPr bwMode="auto">
        <a:xfrm>
          <a:off x="9008270" y="3829334"/>
          <a:ext cx="2078218" cy="342839"/>
        </a:xfrm>
        <a:custGeom>
          <a:avLst/>
          <a:gdLst>
            <a:gd name="T0" fmla="*/ 0 w 2944"/>
            <a:gd name="T1" fmla="*/ 144 h 864"/>
            <a:gd name="T2" fmla="*/ 144 w 2944"/>
            <a:gd name="T3" fmla="*/ 0 h 864"/>
            <a:gd name="T4" fmla="*/ 2800 w 2944"/>
            <a:gd name="T5" fmla="*/ 0 h 864"/>
            <a:gd name="T6" fmla="*/ 2944 w 2944"/>
            <a:gd name="T7" fmla="*/ 144 h 864"/>
            <a:gd name="T8" fmla="*/ 2944 w 2944"/>
            <a:gd name="T9" fmla="*/ 720 h 864"/>
            <a:gd name="T10" fmla="*/ 2800 w 2944"/>
            <a:gd name="T11" fmla="*/ 864 h 864"/>
            <a:gd name="T12" fmla="*/ 144 w 2944"/>
            <a:gd name="T13" fmla="*/ 864 h 864"/>
            <a:gd name="T14" fmla="*/ 0 w 2944"/>
            <a:gd name="T15" fmla="*/ 720 h 864"/>
            <a:gd name="T16" fmla="*/ 0 w 2944"/>
            <a:gd name="T17" fmla="*/ 144 h 8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944" h="864">
              <a:moveTo>
                <a:pt x="0" y="144"/>
              </a:moveTo>
              <a:cubicBezTo>
                <a:pt x="0" y="65"/>
                <a:pt x="65" y="0"/>
                <a:pt x="144" y="0"/>
              </a:cubicBezTo>
              <a:lnTo>
                <a:pt x="2800" y="0"/>
              </a:lnTo>
              <a:cubicBezTo>
                <a:pt x="2880" y="0"/>
                <a:pt x="2944" y="65"/>
                <a:pt x="2944" y="144"/>
              </a:cubicBezTo>
              <a:lnTo>
                <a:pt x="2944" y="720"/>
              </a:lnTo>
              <a:cubicBezTo>
                <a:pt x="2944" y="800"/>
                <a:pt x="2880" y="864"/>
                <a:pt x="2800" y="864"/>
              </a:cubicBezTo>
              <a:lnTo>
                <a:pt x="144" y="864"/>
              </a:lnTo>
              <a:cubicBezTo>
                <a:pt x="65" y="864"/>
                <a:pt x="0" y="800"/>
                <a:pt x="0" y="720"/>
              </a:cubicBezTo>
              <a:lnTo>
                <a:pt x="0" y="144"/>
              </a:lnTo>
              <a:close/>
            </a:path>
          </a:pathLst>
        </a:custGeom>
        <a:solidFill>
          <a:srgbClr val="0070C0"/>
        </a:solidFill>
        <a:ln w="0">
          <a:solidFill>
            <a:srgbClr val="0070C0"/>
          </a:solidFill>
          <a:prstDash val="solid"/>
          <a:round/>
          <a:headEnd/>
          <a:tailEnd/>
        </a:ln>
      </xdr:spPr>
    </xdr:sp>
    <xdr:clientData/>
  </xdr:twoCellAnchor>
  <xdr:twoCellAnchor>
    <xdr:from>
      <xdr:col>15</xdr:col>
      <xdr:colOff>399839</xdr:colOff>
      <xdr:row>16</xdr:row>
      <xdr:rowOff>190499</xdr:rowOff>
    </xdr:from>
    <xdr:to>
      <xdr:col>18</xdr:col>
      <xdr:colOff>28154</xdr:colOff>
      <xdr:row>19</xdr:row>
      <xdr:rowOff>82721</xdr:rowOff>
    </xdr:to>
    <xdr:sp macro="" textlink="">
      <xdr:nvSpPr>
        <xdr:cNvPr id="8" name="Rectangle 10">
          <a:extLst>
            <a:ext uri="{FF2B5EF4-FFF2-40B4-BE49-F238E27FC236}">
              <a16:creationId xmlns:a16="http://schemas.microsoft.com/office/drawing/2014/main" id="{00000000-0008-0000-0000-000008000000}"/>
            </a:ext>
          </a:extLst>
        </xdr:cNvPr>
        <xdr:cNvSpPr>
          <a:spLocks noChangeArrowheads="1"/>
        </xdr:cNvSpPr>
      </xdr:nvSpPr>
      <xdr:spPr bwMode="auto">
        <a:xfrm>
          <a:off x="9194589" y="3587749"/>
          <a:ext cx="1660315" cy="484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ctr" rtl="0">
            <a:defRPr sz="1000"/>
          </a:pPr>
          <a:endParaRPr lang="en-US" sz="1800" b="0" i="0" u="none" strike="noStrike" baseline="0">
            <a:solidFill>
              <a:srgbClr val="FFFFFF"/>
            </a:solidFill>
            <a:latin typeface="Calibri"/>
            <a:cs typeface="Calibri"/>
          </a:endParaRPr>
        </a:p>
        <a:p>
          <a:pPr algn="ctr" rtl="0">
            <a:defRPr sz="1000"/>
          </a:pPr>
          <a:r>
            <a:rPr lang="en-US" sz="1800" b="0" i="0" u="none" strike="noStrike" baseline="0">
              <a:solidFill>
                <a:srgbClr val="FFFFFF"/>
              </a:solidFill>
              <a:latin typeface="Calibri"/>
              <a:cs typeface="Calibri"/>
            </a:rPr>
            <a:t>GLOBAL INPUTS</a:t>
          </a:r>
        </a:p>
      </xdr:txBody>
    </xdr:sp>
    <xdr:clientData/>
  </xdr:twoCellAnchor>
  <xdr:twoCellAnchor>
    <xdr:from>
      <xdr:col>20</xdr:col>
      <xdr:colOff>173370</xdr:colOff>
      <xdr:row>13</xdr:row>
      <xdr:rowOff>117411</xdr:rowOff>
    </xdr:from>
    <xdr:to>
      <xdr:col>24</xdr:col>
      <xdr:colOff>671720</xdr:colOff>
      <xdr:row>15</xdr:row>
      <xdr:rowOff>91261</xdr:rowOff>
    </xdr:to>
    <xdr:sp macro="" textlink="">
      <xdr:nvSpPr>
        <xdr:cNvPr id="9" name="Freeform 11">
          <a:extLst>
            <a:ext uri="{FF2B5EF4-FFF2-40B4-BE49-F238E27FC236}">
              <a16:creationId xmlns:a16="http://schemas.microsoft.com/office/drawing/2014/main" id="{00000000-0008-0000-0000-000009000000}"/>
            </a:ext>
          </a:extLst>
        </xdr:cNvPr>
        <xdr:cNvSpPr>
          <a:spLocks/>
        </xdr:cNvSpPr>
      </xdr:nvSpPr>
      <xdr:spPr bwMode="auto">
        <a:xfrm>
          <a:off x="11899703" y="2911411"/>
          <a:ext cx="3207684" cy="376017"/>
        </a:xfrm>
        <a:custGeom>
          <a:avLst/>
          <a:gdLst>
            <a:gd name="T0" fmla="*/ 0 w 4528"/>
            <a:gd name="T1" fmla="*/ 91 h 544"/>
            <a:gd name="T2" fmla="*/ 91 w 4528"/>
            <a:gd name="T3" fmla="*/ 0 h 544"/>
            <a:gd name="T4" fmla="*/ 4438 w 4528"/>
            <a:gd name="T5" fmla="*/ 0 h 544"/>
            <a:gd name="T6" fmla="*/ 4528 w 4528"/>
            <a:gd name="T7" fmla="*/ 91 h 544"/>
            <a:gd name="T8" fmla="*/ 4528 w 4528"/>
            <a:gd name="T9" fmla="*/ 454 h 544"/>
            <a:gd name="T10" fmla="*/ 4438 w 4528"/>
            <a:gd name="T11" fmla="*/ 544 h 544"/>
            <a:gd name="T12" fmla="*/ 91 w 4528"/>
            <a:gd name="T13" fmla="*/ 544 h 544"/>
            <a:gd name="T14" fmla="*/ 0 w 4528"/>
            <a:gd name="T15" fmla="*/ 454 h 544"/>
            <a:gd name="T16" fmla="*/ 0 w 4528"/>
            <a:gd name="T17" fmla="*/ 91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528" h="544">
              <a:moveTo>
                <a:pt x="0" y="91"/>
              </a:moveTo>
              <a:cubicBezTo>
                <a:pt x="0" y="41"/>
                <a:pt x="41" y="0"/>
                <a:pt x="91" y="0"/>
              </a:cubicBezTo>
              <a:lnTo>
                <a:pt x="4438" y="0"/>
              </a:lnTo>
              <a:cubicBezTo>
                <a:pt x="4488" y="0"/>
                <a:pt x="4528" y="41"/>
                <a:pt x="4528" y="91"/>
              </a:cubicBezTo>
              <a:lnTo>
                <a:pt x="4528" y="454"/>
              </a:lnTo>
              <a:cubicBezTo>
                <a:pt x="4528" y="504"/>
                <a:pt x="4488" y="544"/>
                <a:pt x="4438" y="544"/>
              </a:cubicBezTo>
              <a:lnTo>
                <a:pt x="91" y="544"/>
              </a:lnTo>
              <a:cubicBezTo>
                <a:pt x="41" y="544"/>
                <a:pt x="0" y="504"/>
                <a:pt x="0" y="454"/>
              </a:cubicBezTo>
              <a:lnTo>
                <a:pt x="0" y="91"/>
              </a:lnTo>
              <a:close/>
            </a:path>
          </a:pathLst>
        </a:custGeom>
        <a:solidFill>
          <a:srgbClr val="7030A0"/>
        </a:solidFill>
        <a:ln w="0">
          <a:solidFill>
            <a:srgbClr val="000000"/>
          </a:solidFill>
          <a:prstDash val="solid"/>
          <a:round/>
          <a:headEnd/>
          <a:tailEnd/>
        </a:ln>
      </xdr:spPr>
    </xdr:sp>
    <xdr:clientData/>
  </xdr:twoCellAnchor>
  <xdr:twoCellAnchor>
    <xdr:from>
      <xdr:col>20</xdr:col>
      <xdr:colOff>173370</xdr:colOff>
      <xdr:row>13</xdr:row>
      <xdr:rowOff>117411</xdr:rowOff>
    </xdr:from>
    <xdr:to>
      <xdr:col>24</xdr:col>
      <xdr:colOff>671720</xdr:colOff>
      <xdr:row>15</xdr:row>
      <xdr:rowOff>91261</xdr:rowOff>
    </xdr:to>
    <xdr:sp macro="" textlink="">
      <xdr:nvSpPr>
        <xdr:cNvPr id="10" name="Freeform 12">
          <a:extLst>
            <a:ext uri="{FF2B5EF4-FFF2-40B4-BE49-F238E27FC236}">
              <a16:creationId xmlns:a16="http://schemas.microsoft.com/office/drawing/2014/main" id="{00000000-0008-0000-0000-00000A000000}"/>
            </a:ext>
          </a:extLst>
        </xdr:cNvPr>
        <xdr:cNvSpPr>
          <a:spLocks/>
        </xdr:cNvSpPr>
      </xdr:nvSpPr>
      <xdr:spPr bwMode="auto">
        <a:xfrm>
          <a:off x="11899703" y="2911411"/>
          <a:ext cx="3207684" cy="376017"/>
        </a:xfrm>
        <a:custGeom>
          <a:avLst/>
          <a:gdLst>
            <a:gd name="T0" fmla="*/ 0 w 4528"/>
            <a:gd name="T1" fmla="*/ 91 h 544"/>
            <a:gd name="T2" fmla="*/ 91 w 4528"/>
            <a:gd name="T3" fmla="*/ 0 h 544"/>
            <a:gd name="T4" fmla="*/ 4438 w 4528"/>
            <a:gd name="T5" fmla="*/ 0 h 544"/>
            <a:gd name="T6" fmla="*/ 4528 w 4528"/>
            <a:gd name="T7" fmla="*/ 91 h 544"/>
            <a:gd name="T8" fmla="*/ 4528 w 4528"/>
            <a:gd name="T9" fmla="*/ 454 h 544"/>
            <a:gd name="T10" fmla="*/ 4438 w 4528"/>
            <a:gd name="T11" fmla="*/ 544 h 544"/>
            <a:gd name="T12" fmla="*/ 91 w 4528"/>
            <a:gd name="T13" fmla="*/ 544 h 544"/>
            <a:gd name="T14" fmla="*/ 0 w 4528"/>
            <a:gd name="T15" fmla="*/ 454 h 544"/>
            <a:gd name="T16" fmla="*/ 0 w 4528"/>
            <a:gd name="T17" fmla="*/ 91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528" h="544">
              <a:moveTo>
                <a:pt x="0" y="91"/>
              </a:moveTo>
              <a:cubicBezTo>
                <a:pt x="0" y="41"/>
                <a:pt x="41" y="0"/>
                <a:pt x="91" y="0"/>
              </a:cubicBezTo>
              <a:lnTo>
                <a:pt x="4438" y="0"/>
              </a:lnTo>
              <a:cubicBezTo>
                <a:pt x="4488" y="0"/>
                <a:pt x="4528" y="41"/>
                <a:pt x="4528" y="91"/>
              </a:cubicBezTo>
              <a:lnTo>
                <a:pt x="4528" y="454"/>
              </a:lnTo>
              <a:cubicBezTo>
                <a:pt x="4528" y="504"/>
                <a:pt x="4488" y="544"/>
                <a:pt x="4438" y="544"/>
              </a:cubicBezTo>
              <a:lnTo>
                <a:pt x="91" y="544"/>
              </a:lnTo>
              <a:cubicBezTo>
                <a:pt x="41" y="544"/>
                <a:pt x="0" y="504"/>
                <a:pt x="0" y="454"/>
              </a:cubicBezTo>
              <a:lnTo>
                <a:pt x="0" y="91"/>
              </a:lnTo>
              <a:close/>
            </a:path>
          </a:pathLst>
        </a:custGeom>
        <a:noFill/>
        <a:ln w="9525" cap="flat">
          <a:solidFill>
            <a:srgbClr val="7030A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403445</xdr:colOff>
      <xdr:row>13</xdr:row>
      <xdr:rowOff>120953</xdr:rowOff>
    </xdr:from>
    <xdr:to>
      <xdr:col>24</xdr:col>
      <xdr:colOff>495187</xdr:colOff>
      <xdr:row>15</xdr:row>
      <xdr:rowOff>102811</xdr:rowOff>
    </xdr:to>
    <xdr:sp macro="" textlink="">
      <xdr:nvSpPr>
        <xdr:cNvPr id="11" name="Rectangle 13">
          <a:extLst>
            <a:ext uri="{FF2B5EF4-FFF2-40B4-BE49-F238E27FC236}">
              <a16:creationId xmlns:a16="http://schemas.microsoft.com/office/drawing/2014/main" id="{00000000-0008-0000-0000-00000B000000}"/>
            </a:ext>
          </a:extLst>
        </xdr:cNvPr>
        <xdr:cNvSpPr>
          <a:spLocks noChangeArrowheads="1"/>
        </xdr:cNvSpPr>
      </xdr:nvSpPr>
      <xdr:spPr bwMode="auto">
        <a:xfrm>
          <a:off x="12057207" y="2963334"/>
          <a:ext cx="2776885" cy="393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ctr" anchorCtr="1">
          <a:noAutofit/>
        </a:bodyPr>
        <a:lstStyle/>
        <a:p>
          <a:pPr algn="ctr" rtl="0">
            <a:defRPr sz="1000"/>
          </a:pPr>
          <a:r>
            <a:rPr lang="en-US" sz="1700" b="0" i="0" u="none" strike="noStrike" baseline="0">
              <a:solidFill>
                <a:srgbClr val="FFFFFF"/>
              </a:solidFill>
              <a:latin typeface="Calibri"/>
              <a:cs typeface="Calibri"/>
            </a:rPr>
            <a:t>JUNCTION INPUT/OUTPUT</a:t>
          </a:r>
        </a:p>
      </xdr:txBody>
    </xdr:sp>
    <xdr:clientData/>
  </xdr:twoCellAnchor>
  <xdr:twoCellAnchor>
    <xdr:from>
      <xdr:col>20</xdr:col>
      <xdr:colOff>195959</xdr:colOff>
      <xdr:row>17</xdr:row>
      <xdr:rowOff>31457</xdr:rowOff>
    </xdr:from>
    <xdr:to>
      <xdr:col>24</xdr:col>
      <xdr:colOff>671720</xdr:colOff>
      <xdr:row>19</xdr:row>
      <xdr:rowOff>38485</xdr:rowOff>
    </xdr:to>
    <xdr:sp macro="" textlink="">
      <xdr:nvSpPr>
        <xdr:cNvPr id="12" name="Freeform 14">
          <a:extLst>
            <a:ext uri="{FF2B5EF4-FFF2-40B4-BE49-F238E27FC236}">
              <a16:creationId xmlns:a16="http://schemas.microsoft.com/office/drawing/2014/main" id="{00000000-0008-0000-0000-00000C000000}"/>
            </a:ext>
          </a:extLst>
        </xdr:cNvPr>
        <xdr:cNvSpPr>
          <a:spLocks/>
        </xdr:cNvSpPr>
      </xdr:nvSpPr>
      <xdr:spPr bwMode="auto">
        <a:xfrm>
          <a:off x="11922292" y="3619207"/>
          <a:ext cx="3185095" cy="409195"/>
        </a:xfrm>
        <a:custGeom>
          <a:avLst/>
          <a:gdLst>
            <a:gd name="T0" fmla="*/ 0 w 4496"/>
            <a:gd name="T1" fmla="*/ 102 h 608"/>
            <a:gd name="T2" fmla="*/ 102 w 4496"/>
            <a:gd name="T3" fmla="*/ 0 h 608"/>
            <a:gd name="T4" fmla="*/ 4395 w 4496"/>
            <a:gd name="T5" fmla="*/ 0 h 608"/>
            <a:gd name="T6" fmla="*/ 4496 w 4496"/>
            <a:gd name="T7" fmla="*/ 102 h 608"/>
            <a:gd name="T8" fmla="*/ 4496 w 4496"/>
            <a:gd name="T9" fmla="*/ 507 h 608"/>
            <a:gd name="T10" fmla="*/ 4395 w 4496"/>
            <a:gd name="T11" fmla="*/ 608 h 608"/>
            <a:gd name="T12" fmla="*/ 102 w 4496"/>
            <a:gd name="T13" fmla="*/ 608 h 608"/>
            <a:gd name="T14" fmla="*/ 0 w 4496"/>
            <a:gd name="T15" fmla="*/ 507 h 608"/>
            <a:gd name="T16" fmla="*/ 0 w 4496"/>
            <a:gd name="T17" fmla="*/ 102 h 6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496" h="608">
              <a:moveTo>
                <a:pt x="0" y="102"/>
              </a:moveTo>
              <a:cubicBezTo>
                <a:pt x="0" y="46"/>
                <a:pt x="46" y="0"/>
                <a:pt x="102" y="0"/>
              </a:cubicBezTo>
              <a:lnTo>
                <a:pt x="4395" y="0"/>
              </a:lnTo>
              <a:cubicBezTo>
                <a:pt x="4451" y="0"/>
                <a:pt x="4496" y="46"/>
                <a:pt x="4496" y="102"/>
              </a:cubicBezTo>
              <a:lnTo>
                <a:pt x="4496" y="507"/>
              </a:lnTo>
              <a:cubicBezTo>
                <a:pt x="4496" y="563"/>
                <a:pt x="4451" y="608"/>
                <a:pt x="4395" y="608"/>
              </a:cubicBezTo>
              <a:lnTo>
                <a:pt x="102" y="608"/>
              </a:lnTo>
              <a:cubicBezTo>
                <a:pt x="46" y="608"/>
                <a:pt x="0" y="563"/>
                <a:pt x="0" y="507"/>
              </a:cubicBezTo>
              <a:lnTo>
                <a:pt x="0" y="102"/>
              </a:lnTo>
              <a:close/>
            </a:path>
          </a:pathLst>
        </a:custGeom>
        <a:solidFill>
          <a:srgbClr val="7030A0"/>
        </a:solidFill>
        <a:ln w="0">
          <a:solidFill>
            <a:srgbClr val="000000"/>
          </a:solidFill>
          <a:prstDash val="solid"/>
          <a:round/>
          <a:headEnd/>
          <a:tailEnd/>
        </a:ln>
      </xdr:spPr>
    </xdr:sp>
    <xdr:clientData/>
  </xdr:twoCellAnchor>
  <xdr:twoCellAnchor>
    <xdr:from>
      <xdr:col>20</xdr:col>
      <xdr:colOff>195959</xdr:colOff>
      <xdr:row>17</xdr:row>
      <xdr:rowOff>31457</xdr:rowOff>
    </xdr:from>
    <xdr:to>
      <xdr:col>24</xdr:col>
      <xdr:colOff>671720</xdr:colOff>
      <xdr:row>19</xdr:row>
      <xdr:rowOff>38485</xdr:rowOff>
    </xdr:to>
    <xdr:sp macro="" textlink="">
      <xdr:nvSpPr>
        <xdr:cNvPr id="13" name="Freeform 15">
          <a:extLst>
            <a:ext uri="{FF2B5EF4-FFF2-40B4-BE49-F238E27FC236}">
              <a16:creationId xmlns:a16="http://schemas.microsoft.com/office/drawing/2014/main" id="{00000000-0008-0000-0000-00000D000000}"/>
            </a:ext>
          </a:extLst>
        </xdr:cNvPr>
        <xdr:cNvSpPr>
          <a:spLocks/>
        </xdr:cNvSpPr>
      </xdr:nvSpPr>
      <xdr:spPr bwMode="auto">
        <a:xfrm>
          <a:off x="11922292" y="3619207"/>
          <a:ext cx="3185095" cy="409195"/>
        </a:xfrm>
        <a:custGeom>
          <a:avLst/>
          <a:gdLst>
            <a:gd name="T0" fmla="*/ 0 w 4496"/>
            <a:gd name="T1" fmla="*/ 102 h 608"/>
            <a:gd name="T2" fmla="*/ 102 w 4496"/>
            <a:gd name="T3" fmla="*/ 0 h 608"/>
            <a:gd name="T4" fmla="*/ 4395 w 4496"/>
            <a:gd name="T5" fmla="*/ 0 h 608"/>
            <a:gd name="T6" fmla="*/ 4496 w 4496"/>
            <a:gd name="T7" fmla="*/ 102 h 608"/>
            <a:gd name="T8" fmla="*/ 4496 w 4496"/>
            <a:gd name="T9" fmla="*/ 507 h 608"/>
            <a:gd name="T10" fmla="*/ 4395 w 4496"/>
            <a:gd name="T11" fmla="*/ 608 h 608"/>
            <a:gd name="T12" fmla="*/ 102 w 4496"/>
            <a:gd name="T13" fmla="*/ 608 h 608"/>
            <a:gd name="T14" fmla="*/ 0 w 4496"/>
            <a:gd name="T15" fmla="*/ 507 h 608"/>
            <a:gd name="T16" fmla="*/ 0 w 4496"/>
            <a:gd name="T17" fmla="*/ 102 h 6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496" h="608">
              <a:moveTo>
                <a:pt x="0" y="102"/>
              </a:moveTo>
              <a:cubicBezTo>
                <a:pt x="0" y="46"/>
                <a:pt x="46" y="0"/>
                <a:pt x="102" y="0"/>
              </a:cubicBezTo>
              <a:lnTo>
                <a:pt x="4395" y="0"/>
              </a:lnTo>
              <a:cubicBezTo>
                <a:pt x="4451" y="0"/>
                <a:pt x="4496" y="46"/>
                <a:pt x="4496" y="102"/>
              </a:cubicBezTo>
              <a:lnTo>
                <a:pt x="4496" y="507"/>
              </a:lnTo>
              <a:cubicBezTo>
                <a:pt x="4496" y="563"/>
                <a:pt x="4451" y="608"/>
                <a:pt x="4395" y="608"/>
              </a:cubicBezTo>
              <a:lnTo>
                <a:pt x="102" y="608"/>
              </a:lnTo>
              <a:cubicBezTo>
                <a:pt x="46" y="608"/>
                <a:pt x="0" y="563"/>
                <a:pt x="0" y="507"/>
              </a:cubicBezTo>
              <a:lnTo>
                <a:pt x="0" y="102"/>
              </a:lnTo>
              <a:close/>
            </a:path>
          </a:pathLst>
        </a:custGeom>
        <a:noFill/>
        <a:ln w="9525" cap="flat">
          <a:solidFill>
            <a:srgbClr val="7030A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405190</xdr:colOff>
      <xdr:row>17</xdr:row>
      <xdr:rowOff>24189</xdr:rowOff>
    </xdr:from>
    <xdr:to>
      <xdr:col>24</xdr:col>
      <xdr:colOff>568476</xdr:colOff>
      <xdr:row>19</xdr:row>
      <xdr:rowOff>48380</xdr:rowOff>
    </xdr:to>
    <xdr:sp macro="" textlink="">
      <xdr:nvSpPr>
        <xdr:cNvPr id="14" name="Rectangle 16">
          <a:extLst>
            <a:ext uri="{FF2B5EF4-FFF2-40B4-BE49-F238E27FC236}">
              <a16:creationId xmlns:a16="http://schemas.microsoft.com/office/drawing/2014/main" id="{00000000-0008-0000-0000-00000E000000}"/>
            </a:ext>
          </a:extLst>
        </xdr:cNvPr>
        <xdr:cNvSpPr>
          <a:spLocks noChangeArrowheads="1"/>
        </xdr:cNvSpPr>
      </xdr:nvSpPr>
      <xdr:spPr bwMode="auto">
        <a:xfrm>
          <a:off x="12058952" y="3676951"/>
          <a:ext cx="2848429" cy="43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ctr" anchorCtr="1">
          <a:noAutofit/>
        </a:bodyPr>
        <a:lstStyle/>
        <a:p>
          <a:pPr algn="ctr" rtl="0">
            <a:defRPr sz="1000"/>
          </a:pPr>
          <a:r>
            <a:rPr lang="en-US" sz="1800" b="0" i="0" u="none" strike="noStrike" baseline="0">
              <a:solidFill>
                <a:srgbClr val="FFFFFF"/>
              </a:solidFill>
              <a:latin typeface="Calibri"/>
              <a:cs typeface="Calibri"/>
            </a:rPr>
            <a:t>SIGNAL INPUT/OUTPUT</a:t>
          </a:r>
        </a:p>
      </xdr:txBody>
    </xdr:sp>
    <xdr:clientData/>
  </xdr:twoCellAnchor>
  <xdr:twoCellAnchor>
    <xdr:from>
      <xdr:col>19</xdr:col>
      <xdr:colOff>286855</xdr:colOff>
      <xdr:row>20</xdr:row>
      <xdr:rowOff>213419</xdr:rowOff>
    </xdr:from>
    <xdr:to>
      <xdr:col>24</xdr:col>
      <xdr:colOff>671721</xdr:colOff>
      <xdr:row>21</xdr:row>
      <xdr:rowOff>224366</xdr:rowOff>
    </xdr:to>
    <xdr:sp macro="" textlink="">
      <xdr:nvSpPr>
        <xdr:cNvPr id="15" name="Freeform 17">
          <a:extLst>
            <a:ext uri="{FF2B5EF4-FFF2-40B4-BE49-F238E27FC236}">
              <a16:creationId xmlns:a16="http://schemas.microsoft.com/office/drawing/2014/main" id="{00000000-0008-0000-0000-00000F000000}"/>
            </a:ext>
          </a:extLst>
        </xdr:cNvPr>
        <xdr:cNvSpPr>
          <a:spLocks/>
        </xdr:cNvSpPr>
      </xdr:nvSpPr>
      <xdr:spPr bwMode="auto">
        <a:xfrm>
          <a:off x="11685105" y="4404419"/>
          <a:ext cx="3422283" cy="254364"/>
        </a:xfrm>
        <a:custGeom>
          <a:avLst/>
          <a:gdLst>
            <a:gd name="T0" fmla="*/ 0 w 4832"/>
            <a:gd name="T1" fmla="*/ 62 h 368"/>
            <a:gd name="T2" fmla="*/ 62 w 4832"/>
            <a:gd name="T3" fmla="*/ 0 h 368"/>
            <a:gd name="T4" fmla="*/ 4771 w 4832"/>
            <a:gd name="T5" fmla="*/ 0 h 368"/>
            <a:gd name="T6" fmla="*/ 4832 w 4832"/>
            <a:gd name="T7" fmla="*/ 62 h 368"/>
            <a:gd name="T8" fmla="*/ 4832 w 4832"/>
            <a:gd name="T9" fmla="*/ 307 h 368"/>
            <a:gd name="T10" fmla="*/ 4771 w 4832"/>
            <a:gd name="T11" fmla="*/ 368 h 368"/>
            <a:gd name="T12" fmla="*/ 62 w 4832"/>
            <a:gd name="T13" fmla="*/ 368 h 368"/>
            <a:gd name="T14" fmla="*/ 0 w 4832"/>
            <a:gd name="T15" fmla="*/ 307 h 368"/>
            <a:gd name="T16" fmla="*/ 0 w 4832"/>
            <a:gd name="T17" fmla="*/ 62 h 36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832" h="368">
              <a:moveTo>
                <a:pt x="0" y="62"/>
              </a:moveTo>
              <a:cubicBezTo>
                <a:pt x="0" y="28"/>
                <a:pt x="28" y="0"/>
                <a:pt x="62" y="0"/>
              </a:cubicBezTo>
              <a:lnTo>
                <a:pt x="4771" y="0"/>
              </a:lnTo>
              <a:cubicBezTo>
                <a:pt x="4805" y="0"/>
                <a:pt x="4832" y="28"/>
                <a:pt x="4832" y="62"/>
              </a:cubicBezTo>
              <a:lnTo>
                <a:pt x="4832" y="307"/>
              </a:lnTo>
              <a:cubicBezTo>
                <a:pt x="4832" y="341"/>
                <a:pt x="4805" y="368"/>
                <a:pt x="4771" y="368"/>
              </a:cubicBezTo>
              <a:lnTo>
                <a:pt x="62" y="368"/>
              </a:lnTo>
              <a:cubicBezTo>
                <a:pt x="28" y="368"/>
                <a:pt x="0" y="341"/>
                <a:pt x="0" y="307"/>
              </a:cubicBezTo>
              <a:lnTo>
                <a:pt x="0" y="62"/>
              </a:lnTo>
              <a:close/>
            </a:path>
          </a:pathLst>
        </a:custGeom>
        <a:solidFill>
          <a:srgbClr val="00B050"/>
        </a:solidFill>
        <a:ln w="0">
          <a:solidFill>
            <a:srgbClr val="000000"/>
          </a:solidFill>
          <a:prstDash val="solid"/>
          <a:round/>
          <a:headEnd/>
          <a:tailEnd/>
        </a:ln>
      </xdr:spPr>
    </xdr:sp>
    <xdr:clientData/>
  </xdr:twoCellAnchor>
  <xdr:twoCellAnchor>
    <xdr:from>
      <xdr:col>19</xdr:col>
      <xdr:colOff>286855</xdr:colOff>
      <xdr:row>20</xdr:row>
      <xdr:rowOff>213419</xdr:rowOff>
    </xdr:from>
    <xdr:to>
      <xdr:col>24</xdr:col>
      <xdr:colOff>671721</xdr:colOff>
      <xdr:row>21</xdr:row>
      <xdr:rowOff>224366</xdr:rowOff>
    </xdr:to>
    <xdr:sp macro="" textlink="">
      <xdr:nvSpPr>
        <xdr:cNvPr id="16" name="Freeform 18">
          <a:extLst>
            <a:ext uri="{FF2B5EF4-FFF2-40B4-BE49-F238E27FC236}">
              <a16:creationId xmlns:a16="http://schemas.microsoft.com/office/drawing/2014/main" id="{00000000-0008-0000-0000-000010000000}"/>
            </a:ext>
          </a:extLst>
        </xdr:cNvPr>
        <xdr:cNvSpPr>
          <a:spLocks/>
        </xdr:cNvSpPr>
      </xdr:nvSpPr>
      <xdr:spPr bwMode="auto">
        <a:xfrm>
          <a:off x="11685105" y="4404419"/>
          <a:ext cx="3422283" cy="254364"/>
        </a:xfrm>
        <a:custGeom>
          <a:avLst/>
          <a:gdLst>
            <a:gd name="T0" fmla="*/ 0 w 4832"/>
            <a:gd name="T1" fmla="*/ 62 h 368"/>
            <a:gd name="T2" fmla="*/ 62 w 4832"/>
            <a:gd name="T3" fmla="*/ 0 h 368"/>
            <a:gd name="T4" fmla="*/ 4771 w 4832"/>
            <a:gd name="T5" fmla="*/ 0 h 368"/>
            <a:gd name="T6" fmla="*/ 4832 w 4832"/>
            <a:gd name="T7" fmla="*/ 62 h 368"/>
            <a:gd name="T8" fmla="*/ 4832 w 4832"/>
            <a:gd name="T9" fmla="*/ 307 h 368"/>
            <a:gd name="T10" fmla="*/ 4771 w 4832"/>
            <a:gd name="T11" fmla="*/ 368 h 368"/>
            <a:gd name="T12" fmla="*/ 62 w 4832"/>
            <a:gd name="T13" fmla="*/ 368 h 368"/>
            <a:gd name="T14" fmla="*/ 0 w 4832"/>
            <a:gd name="T15" fmla="*/ 307 h 368"/>
            <a:gd name="T16" fmla="*/ 0 w 4832"/>
            <a:gd name="T17" fmla="*/ 62 h 36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832" h="368">
              <a:moveTo>
                <a:pt x="0" y="62"/>
              </a:moveTo>
              <a:cubicBezTo>
                <a:pt x="0" y="28"/>
                <a:pt x="28" y="0"/>
                <a:pt x="62" y="0"/>
              </a:cubicBezTo>
              <a:lnTo>
                <a:pt x="4771" y="0"/>
              </a:lnTo>
              <a:cubicBezTo>
                <a:pt x="4805" y="0"/>
                <a:pt x="4832" y="28"/>
                <a:pt x="4832" y="62"/>
              </a:cubicBezTo>
              <a:lnTo>
                <a:pt x="4832" y="307"/>
              </a:lnTo>
              <a:cubicBezTo>
                <a:pt x="4832" y="341"/>
                <a:pt x="4805" y="368"/>
                <a:pt x="4771" y="368"/>
              </a:cubicBezTo>
              <a:lnTo>
                <a:pt x="62" y="368"/>
              </a:lnTo>
              <a:cubicBezTo>
                <a:pt x="28" y="368"/>
                <a:pt x="0" y="341"/>
                <a:pt x="0" y="307"/>
              </a:cubicBezTo>
              <a:lnTo>
                <a:pt x="0" y="62"/>
              </a:lnTo>
              <a:close/>
            </a:path>
          </a:pathLst>
        </a:custGeom>
        <a:noFill/>
        <a:ln w="9525" cap="flat">
          <a:solidFill>
            <a:srgbClr val="00B05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18142</xdr:colOff>
      <xdr:row>20</xdr:row>
      <xdr:rowOff>206979</xdr:rowOff>
    </xdr:from>
    <xdr:to>
      <xdr:col>24</xdr:col>
      <xdr:colOff>296332</xdr:colOff>
      <xdr:row>22</xdr:row>
      <xdr:rowOff>51925</xdr:rowOff>
    </xdr:to>
    <xdr:sp macro="" textlink="">
      <xdr:nvSpPr>
        <xdr:cNvPr id="17" name="Rectangle 19">
          <a:extLst>
            <a:ext uri="{FF2B5EF4-FFF2-40B4-BE49-F238E27FC236}">
              <a16:creationId xmlns:a16="http://schemas.microsoft.com/office/drawing/2014/main" id="{00000000-0008-0000-0000-000011000000}"/>
            </a:ext>
          </a:extLst>
        </xdr:cNvPr>
        <xdr:cNvSpPr>
          <a:spLocks noChangeArrowheads="1"/>
        </xdr:cNvSpPr>
      </xdr:nvSpPr>
      <xdr:spPr bwMode="auto">
        <a:xfrm>
          <a:off x="12343190" y="4476598"/>
          <a:ext cx="2292047" cy="328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sz="1800" b="0" i="0" u="none" strike="noStrike" baseline="0">
              <a:solidFill>
                <a:srgbClr val="FFFFFF"/>
              </a:solidFill>
              <a:latin typeface="Calibri"/>
              <a:cs typeface="Calibri"/>
            </a:rPr>
            <a:t>LANE GROUP PMs</a:t>
          </a:r>
        </a:p>
      </xdr:txBody>
    </xdr:sp>
    <xdr:clientData/>
  </xdr:twoCellAnchor>
  <xdr:twoCellAnchor>
    <xdr:from>
      <xdr:col>15</xdr:col>
      <xdr:colOff>88368</xdr:colOff>
      <xdr:row>10</xdr:row>
      <xdr:rowOff>8050</xdr:rowOff>
    </xdr:from>
    <xdr:to>
      <xdr:col>18</xdr:col>
      <xdr:colOff>134586</xdr:colOff>
      <xdr:row>13</xdr:row>
      <xdr:rowOff>101537</xdr:rowOff>
    </xdr:to>
    <xdr:sp macro="" textlink="">
      <xdr:nvSpPr>
        <xdr:cNvPr id="22" name="Freeform 24">
          <a:extLst>
            <a:ext uri="{FF2B5EF4-FFF2-40B4-BE49-F238E27FC236}">
              <a16:creationId xmlns:a16="http://schemas.microsoft.com/office/drawing/2014/main" id="{00000000-0008-0000-0000-000016000000}"/>
            </a:ext>
          </a:extLst>
        </xdr:cNvPr>
        <xdr:cNvSpPr>
          <a:spLocks/>
        </xdr:cNvSpPr>
      </xdr:nvSpPr>
      <xdr:spPr bwMode="auto">
        <a:xfrm>
          <a:off x="8335431" y="2159113"/>
          <a:ext cx="1808343" cy="688799"/>
        </a:xfrm>
        <a:custGeom>
          <a:avLst/>
          <a:gdLst>
            <a:gd name="T0" fmla="*/ 0 w 2944"/>
            <a:gd name="T1" fmla="*/ 171 h 1024"/>
            <a:gd name="T2" fmla="*/ 171 w 2944"/>
            <a:gd name="T3" fmla="*/ 0 h 1024"/>
            <a:gd name="T4" fmla="*/ 2774 w 2944"/>
            <a:gd name="T5" fmla="*/ 0 h 1024"/>
            <a:gd name="T6" fmla="*/ 2944 w 2944"/>
            <a:gd name="T7" fmla="*/ 171 h 1024"/>
            <a:gd name="T8" fmla="*/ 2944 w 2944"/>
            <a:gd name="T9" fmla="*/ 854 h 1024"/>
            <a:gd name="T10" fmla="*/ 2774 w 2944"/>
            <a:gd name="T11" fmla="*/ 1024 h 1024"/>
            <a:gd name="T12" fmla="*/ 171 w 2944"/>
            <a:gd name="T13" fmla="*/ 1024 h 1024"/>
            <a:gd name="T14" fmla="*/ 0 w 2944"/>
            <a:gd name="T15" fmla="*/ 854 h 1024"/>
            <a:gd name="T16" fmla="*/ 0 w 2944"/>
            <a:gd name="T17" fmla="*/ 171 h 10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944" h="1024">
              <a:moveTo>
                <a:pt x="0" y="171"/>
              </a:moveTo>
              <a:cubicBezTo>
                <a:pt x="0" y="77"/>
                <a:pt x="77" y="0"/>
                <a:pt x="171" y="0"/>
              </a:cubicBezTo>
              <a:lnTo>
                <a:pt x="2774" y="0"/>
              </a:lnTo>
              <a:cubicBezTo>
                <a:pt x="2868" y="0"/>
                <a:pt x="2944" y="77"/>
                <a:pt x="2944" y="171"/>
              </a:cubicBezTo>
              <a:lnTo>
                <a:pt x="2944" y="854"/>
              </a:lnTo>
              <a:cubicBezTo>
                <a:pt x="2944" y="948"/>
                <a:pt x="2868" y="1024"/>
                <a:pt x="2774" y="1024"/>
              </a:cubicBezTo>
              <a:lnTo>
                <a:pt x="171" y="1024"/>
              </a:lnTo>
              <a:cubicBezTo>
                <a:pt x="77" y="1024"/>
                <a:pt x="0" y="948"/>
                <a:pt x="0" y="854"/>
              </a:cubicBezTo>
              <a:lnTo>
                <a:pt x="0" y="171"/>
              </a:lnTo>
              <a:close/>
            </a:path>
          </a:pathLst>
        </a:custGeom>
        <a:solidFill>
          <a:srgbClr val="7030A0"/>
        </a:solidFill>
        <a:ln w="0">
          <a:solidFill>
            <a:srgbClr val="000000"/>
          </a:solidFill>
          <a:prstDash val="solid"/>
          <a:round/>
          <a:headEnd/>
          <a:tailEnd/>
        </a:ln>
      </xdr:spPr>
    </xdr:sp>
    <xdr:clientData/>
  </xdr:twoCellAnchor>
  <xdr:twoCellAnchor>
    <xdr:from>
      <xdr:col>15</xdr:col>
      <xdr:colOff>88367</xdr:colOff>
      <xdr:row>10</xdr:row>
      <xdr:rowOff>26571</xdr:rowOff>
    </xdr:from>
    <xdr:to>
      <xdr:col>18</xdr:col>
      <xdr:colOff>134585</xdr:colOff>
      <xdr:row>13</xdr:row>
      <xdr:rowOff>31750</xdr:rowOff>
    </xdr:to>
    <xdr:sp macro="" textlink="">
      <xdr:nvSpPr>
        <xdr:cNvPr id="23" name="Freeform 25">
          <a:extLst>
            <a:ext uri="{FF2B5EF4-FFF2-40B4-BE49-F238E27FC236}">
              <a16:creationId xmlns:a16="http://schemas.microsoft.com/office/drawing/2014/main" id="{00000000-0008-0000-0000-000017000000}"/>
            </a:ext>
          </a:extLst>
        </xdr:cNvPr>
        <xdr:cNvSpPr>
          <a:spLocks/>
        </xdr:cNvSpPr>
      </xdr:nvSpPr>
      <xdr:spPr bwMode="auto">
        <a:xfrm>
          <a:off x="8335430" y="2177634"/>
          <a:ext cx="1808343" cy="600491"/>
        </a:xfrm>
        <a:custGeom>
          <a:avLst/>
          <a:gdLst>
            <a:gd name="T0" fmla="*/ 0 w 2944"/>
            <a:gd name="T1" fmla="*/ 171 h 1024"/>
            <a:gd name="T2" fmla="*/ 171 w 2944"/>
            <a:gd name="T3" fmla="*/ 0 h 1024"/>
            <a:gd name="T4" fmla="*/ 2774 w 2944"/>
            <a:gd name="T5" fmla="*/ 0 h 1024"/>
            <a:gd name="T6" fmla="*/ 2944 w 2944"/>
            <a:gd name="T7" fmla="*/ 171 h 1024"/>
            <a:gd name="T8" fmla="*/ 2944 w 2944"/>
            <a:gd name="T9" fmla="*/ 854 h 1024"/>
            <a:gd name="T10" fmla="*/ 2774 w 2944"/>
            <a:gd name="T11" fmla="*/ 1024 h 1024"/>
            <a:gd name="T12" fmla="*/ 171 w 2944"/>
            <a:gd name="T13" fmla="*/ 1024 h 1024"/>
            <a:gd name="T14" fmla="*/ 0 w 2944"/>
            <a:gd name="T15" fmla="*/ 854 h 1024"/>
            <a:gd name="T16" fmla="*/ 0 w 2944"/>
            <a:gd name="T17" fmla="*/ 171 h 10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944" h="1024">
              <a:moveTo>
                <a:pt x="0" y="171"/>
              </a:moveTo>
              <a:cubicBezTo>
                <a:pt x="0" y="77"/>
                <a:pt x="77" y="0"/>
                <a:pt x="171" y="0"/>
              </a:cubicBezTo>
              <a:lnTo>
                <a:pt x="2774" y="0"/>
              </a:lnTo>
              <a:cubicBezTo>
                <a:pt x="2868" y="0"/>
                <a:pt x="2944" y="77"/>
                <a:pt x="2944" y="171"/>
              </a:cubicBezTo>
              <a:lnTo>
                <a:pt x="2944" y="854"/>
              </a:lnTo>
              <a:cubicBezTo>
                <a:pt x="2944" y="948"/>
                <a:pt x="2868" y="1024"/>
                <a:pt x="2774" y="1024"/>
              </a:cubicBezTo>
              <a:lnTo>
                <a:pt x="171" y="1024"/>
              </a:lnTo>
              <a:cubicBezTo>
                <a:pt x="77" y="1024"/>
                <a:pt x="0" y="948"/>
                <a:pt x="0" y="854"/>
              </a:cubicBezTo>
              <a:lnTo>
                <a:pt x="0" y="171"/>
              </a:lnTo>
              <a:close/>
            </a:path>
          </a:pathLst>
        </a:custGeom>
        <a:noFill/>
        <a:ln w="9525" cap="flat">
          <a:solidFill>
            <a:srgbClr val="7030A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247916</xdr:colOff>
      <xdr:row>10</xdr:row>
      <xdr:rowOff>42333</xdr:rowOff>
    </xdr:from>
    <xdr:to>
      <xdr:col>18</xdr:col>
      <xdr:colOff>7938</xdr:colOff>
      <xdr:row>13</xdr:row>
      <xdr:rowOff>42852</xdr:rowOff>
    </xdr:to>
    <xdr:sp macro="" textlink="">
      <xdr:nvSpPr>
        <xdr:cNvPr id="25" name="Rectangle 27">
          <a:extLst>
            <a:ext uri="{FF2B5EF4-FFF2-40B4-BE49-F238E27FC236}">
              <a16:creationId xmlns:a16="http://schemas.microsoft.com/office/drawing/2014/main" id="{00000000-0008-0000-0000-000019000000}"/>
            </a:ext>
          </a:extLst>
        </xdr:cNvPr>
        <xdr:cNvSpPr>
          <a:spLocks noChangeArrowheads="1"/>
        </xdr:cNvSpPr>
      </xdr:nvSpPr>
      <xdr:spPr bwMode="auto">
        <a:xfrm>
          <a:off x="8494979" y="2193396"/>
          <a:ext cx="1522147" cy="595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noAutofit/>
        </a:bodyPr>
        <a:lstStyle/>
        <a:p>
          <a:pPr algn="ctr" rtl="0">
            <a:defRPr sz="1000"/>
          </a:pPr>
          <a:r>
            <a:rPr lang="en-US" sz="1800" b="0" i="0" u="none" strike="noStrike" baseline="0">
              <a:solidFill>
                <a:srgbClr val="FFFFFF"/>
              </a:solidFill>
              <a:latin typeface="Calibri"/>
              <a:cs typeface="Calibri"/>
            </a:rPr>
            <a:t>SUMMARY INPUT/OUTPUT</a:t>
          </a:r>
        </a:p>
      </xdr:txBody>
    </xdr:sp>
    <xdr:clientData/>
  </xdr:twoCellAnchor>
  <xdr:twoCellAnchor>
    <xdr:from>
      <xdr:col>19</xdr:col>
      <xdr:colOff>27077</xdr:colOff>
      <xdr:row>7</xdr:row>
      <xdr:rowOff>8804</xdr:rowOff>
    </xdr:from>
    <xdr:to>
      <xdr:col>26</xdr:col>
      <xdr:colOff>291067</xdr:colOff>
      <xdr:row>23</xdr:row>
      <xdr:rowOff>56349</xdr:rowOff>
    </xdr:to>
    <xdr:sp macro="" textlink="">
      <xdr:nvSpPr>
        <xdr:cNvPr id="33" name="Freeform 35">
          <a:extLst>
            <a:ext uri="{FF2B5EF4-FFF2-40B4-BE49-F238E27FC236}">
              <a16:creationId xmlns:a16="http://schemas.microsoft.com/office/drawing/2014/main" id="{00000000-0008-0000-0000-000021000000}"/>
            </a:ext>
          </a:extLst>
        </xdr:cNvPr>
        <xdr:cNvSpPr>
          <a:spLocks noEditPoints="1"/>
        </xdr:cNvSpPr>
      </xdr:nvSpPr>
      <xdr:spPr bwMode="auto">
        <a:xfrm>
          <a:off x="11425327" y="1617471"/>
          <a:ext cx="4359740" cy="3317795"/>
        </a:xfrm>
        <a:custGeom>
          <a:avLst/>
          <a:gdLst>
            <a:gd name="T0" fmla="*/ 1 w 402"/>
            <a:gd name="T1" fmla="*/ 230 h 300"/>
            <a:gd name="T2" fmla="*/ 1 w 402"/>
            <a:gd name="T3" fmla="*/ 203 h 300"/>
            <a:gd name="T4" fmla="*/ 0 w 402"/>
            <a:gd name="T5" fmla="*/ 179 h 300"/>
            <a:gd name="T6" fmla="*/ 0 w 402"/>
            <a:gd name="T7" fmla="*/ 159 h 300"/>
            <a:gd name="T8" fmla="*/ 0 w 402"/>
            <a:gd name="T9" fmla="*/ 139 h 300"/>
            <a:gd name="T10" fmla="*/ 1 w 402"/>
            <a:gd name="T11" fmla="*/ 115 h 300"/>
            <a:gd name="T12" fmla="*/ 1 w 402"/>
            <a:gd name="T13" fmla="*/ 88 h 300"/>
            <a:gd name="T14" fmla="*/ 0 w 402"/>
            <a:gd name="T15" fmla="*/ 64 h 300"/>
            <a:gd name="T16" fmla="*/ 0 w 402"/>
            <a:gd name="T17" fmla="*/ 44 h 300"/>
            <a:gd name="T18" fmla="*/ 5 w 402"/>
            <a:gd name="T19" fmla="*/ 32 h 300"/>
            <a:gd name="T20" fmla="*/ 15 w 402"/>
            <a:gd name="T21" fmla="*/ 15 h 300"/>
            <a:gd name="T22" fmla="*/ 27 w 402"/>
            <a:gd name="T23" fmla="*/ 7 h 300"/>
            <a:gd name="T24" fmla="*/ 43 w 402"/>
            <a:gd name="T25" fmla="*/ 1 h 300"/>
            <a:gd name="T26" fmla="*/ 66 w 402"/>
            <a:gd name="T27" fmla="*/ 0 h 300"/>
            <a:gd name="T28" fmla="*/ 87 w 402"/>
            <a:gd name="T29" fmla="*/ 0 h 300"/>
            <a:gd name="T30" fmla="*/ 107 w 402"/>
            <a:gd name="T31" fmla="*/ 0 h 300"/>
            <a:gd name="T32" fmla="*/ 131 w 402"/>
            <a:gd name="T33" fmla="*/ 1 h 300"/>
            <a:gd name="T34" fmla="*/ 158 w 402"/>
            <a:gd name="T35" fmla="*/ 1 h 300"/>
            <a:gd name="T36" fmla="*/ 182 w 402"/>
            <a:gd name="T37" fmla="*/ 0 h 300"/>
            <a:gd name="T38" fmla="*/ 203 w 402"/>
            <a:gd name="T39" fmla="*/ 0 h 300"/>
            <a:gd name="T40" fmla="*/ 223 w 402"/>
            <a:gd name="T41" fmla="*/ 0 h 300"/>
            <a:gd name="T42" fmla="*/ 247 w 402"/>
            <a:gd name="T43" fmla="*/ 1 h 300"/>
            <a:gd name="T44" fmla="*/ 275 w 402"/>
            <a:gd name="T45" fmla="*/ 1 h 300"/>
            <a:gd name="T46" fmla="*/ 299 w 402"/>
            <a:gd name="T47" fmla="*/ 0 h 300"/>
            <a:gd name="T48" fmla="*/ 320 w 402"/>
            <a:gd name="T49" fmla="*/ 0 h 300"/>
            <a:gd name="T50" fmla="*/ 340 w 402"/>
            <a:gd name="T51" fmla="*/ 0 h 300"/>
            <a:gd name="T52" fmla="*/ 361 w 402"/>
            <a:gd name="T53" fmla="*/ 2 h 300"/>
            <a:gd name="T54" fmla="*/ 378 w 402"/>
            <a:gd name="T55" fmla="*/ 9 h 300"/>
            <a:gd name="T56" fmla="*/ 390 w 402"/>
            <a:gd name="T57" fmla="*/ 19 h 300"/>
            <a:gd name="T58" fmla="*/ 398 w 402"/>
            <a:gd name="T59" fmla="*/ 33 h 300"/>
            <a:gd name="T60" fmla="*/ 401 w 402"/>
            <a:gd name="T61" fmla="*/ 52 h 300"/>
            <a:gd name="T62" fmla="*/ 402 w 402"/>
            <a:gd name="T63" fmla="*/ 69 h 300"/>
            <a:gd name="T64" fmla="*/ 401 w 402"/>
            <a:gd name="T65" fmla="*/ 92 h 300"/>
            <a:gd name="T66" fmla="*/ 401 w 402"/>
            <a:gd name="T67" fmla="*/ 119 h 300"/>
            <a:gd name="T68" fmla="*/ 402 w 402"/>
            <a:gd name="T69" fmla="*/ 143 h 300"/>
            <a:gd name="T70" fmla="*/ 402 w 402"/>
            <a:gd name="T71" fmla="*/ 164 h 300"/>
            <a:gd name="T72" fmla="*/ 402 w 402"/>
            <a:gd name="T73" fmla="*/ 184 h 300"/>
            <a:gd name="T74" fmla="*/ 401 w 402"/>
            <a:gd name="T75" fmla="*/ 208 h 300"/>
            <a:gd name="T76" fmla="*/ 401 w 402"/>
            <a:gd name="T77" fmla="*/ 234 h 300"/>
            <a:gd name="T78" fmla="*/ 400 w 402"/>
            <a:gd name="T79" fmla="*/ 251 h 300"/>
            <a:gd name="T80" fmla="*/ 398 w 402"/>
            <a:gd name="T81" fmla="*/ 267 h 300"/>
            <a:gd name="T82" fmla="*/ 386 w 402"/>
            <a:gd name="T83" fmla="*/ 285 h 300"/>
            <a:gd name="T84" fmla="*/ 369 w 402"/>
            <a:gd name="T85" fmla="*/ 297 h 300"/>
            <a:gd name="T86" fmla="*/ 356 w 402"/>
            <a:gd name="T87" fmla="*/ 299 h 300"/>
            <a:gd name="T88" fmla="*/ 336 w 402"/>
            <a:gd name="T89" fmla="*/ 299 h 300"/>
            <a:gd name="T90" fmla="*/ 309 w 402"/>
            <a:gd name="T91" fmla="*/ 299 h 300"/>
            <a:gd name="T92" fmla="*/ 285 w 402"/>
            <a:gd name="T93" fmla="*/ 300 h 300"/>
            <a:gd name="T94" fmla="*/ 264 w 402"/>
            <a:gd name="T95" fmla="*/ 300 h 300"/>
            <a:gd name="T96" fmla="*/ 244 w 402"/>
            <a:gd name="T97" fmla="*/ 300 h 300"/>
            <a:gd name="T98" fmla="*/ 220 w 402"/>
            <a:gd name="T99" fmla="*/ 299 h 300"/>
            <a:gd name="T100" fmla="*/ 193 w 402"/>
            <a:gd name="T101" fmla="*/ 299 h 300"/>
            <a:gd name="T102" fmla="*/ 169 w 402"/>
            <a:gd name="T103" fmla="*/ 300 h 300"/>
            <a:gd name="T104" fmla="*/ 148 w 402"/>
            <a:gd name="T105" fmla="*/ 300 h 300"/>
            <a:gd name="T106" fmla="*/ 128 w 402"/>
            <a:gd name="T107" fmla="*/ 300 h 300"/>
            <a:gd name="T108" fmla="*/ 104 w 402"/>
            <a:gd name="T109" fmla="*/ 299 h 300"/>
            <a:gd name="T110" fmla="*/ 77 w 402"/>
            <a:gd name="T111" fmla="*/ 299 h 300"/>
            <a:gd name="T112" fmla="*/ 53 w 402"/>
            <a:gd name="T113" fmla="*/ 300 h 300"/>
            <a:gd name="T114" fmla="*/ 40 w 402"/>
            <a:gd name="T115" fmla="*/ 299 h 300"/>
            <a:gd name="T116" fmla="*/ 23 w 402"/>
            <a:gd name="T117" fmla="*/ 291 h 300"/>
            <a:gd name="T118" fmla="*/ 12 w 402"/>
            <a:gd name="T119" fmla="*/ 283 h 300"/>
            <a:gd name="T120" fmla="*/ 2 w 402"/>
            <a:gd name="T121" fmla="*/ 263 h 3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402" h="300">
              <a:moveTo>
                <a:pt x="0" y="250"/>
              </a:moveTo>
              <a:lnTo>
                <a:pt x="0" y="247"/>
              </a:lnTo>
              <a:lnTo>
                <a:pt x="1" y="247"/>
              </a:lnTo>
              <a:lnTo>
                <a:pt x="1" y="250"/>
              </a:lnTo>
              <a:lnTo>
                <a:pt x="0" y="250"/>
              </a:lnTo>
              <a:close/>
              <a:moveTo>
                <a:pt x="0" y="246"/>
              </a:moveTo>
              <a:lnTo>
                <a:pt x="0" y="243"/>
              </a:lnTo>
              <a:lnTo>
                <a:pt x="1" y="243"/>
              </a:lnTo>
              <a:lnTo>
                <a:pt x="1" y="246"/>
              </a:lnTo>
              <a:lnTo>
                <a:pt x="0" y="246"/>
              </a:lnTo>
              <a:close/>
              <a:moveTo>
                <a:pt x="0" y="242"/>
              </a:moveTo>
              <a:lnTo>
                <a:pt x="0" y="239"/>
              </a:lnTo>
              <a:lnTo>
                <a:pt x="1" y="239"/>
              </a:lnTo>
              <a:lnTo>
                <a:pt x="1" y="242"/>
              </a:lnTo>
              <a:lnTo>
                <a:pt x="0" y="242"/>
              </a:lnTo>
              <a:close/>
              <a:moveTo>
                <a:pt x="0" y="238"/>
              </a:moveTo>
              <a:lnTo>
                <a:pt x="0" y="235"/>
              </a:lnTo>
              <a:lnTo>
                <a:pt x="1" y="235"/>
              </a:lnTo>
              <a:lnTo>
                <a:pt x="1" y="238"/>
              </a:lnTo>
              <a:lnTo>
                <a:pt x="0" y="238"/>
              </a:lnTo>
              <a:close/>
              <a:moveTo>
                <a:pt x="0" y="234"/>
              </a:moveTo>
              <a:lnTo>
                <a:pt x="0" y="231"/>
              </a:lnTo>
              <a:lnTo>
                <a:pt x="1" y="231"/>
              </a:lnTo>
              <a:lnTo>
                <a:pt x="1" y="234"/>
              </a:lnTo>
              <a:lnTo>
                <a:pt x="0" y="234"/>
              </a:lnTo>
              <a:close/>
              <a:moveTo>
                <a:pt x="0" y="230"/>
              </a:moveTo>
              <a:lnTo>
                <a:pt x="0" y="227"/>
              </a:lnTo>
              <a:lnTo>
                <a:pt x="1" y="227"/>
              </a:lnTo>
              <a:lnTo>
                <a:pt x="1" y="230"/>
              </a:lnTo>
              <a:lnTo>
                <a:pt x="0" y="230"/>
              </a:lnTo>
              <a:close/>
              <a:moveTo>
                <a:pt x="0" y="226"/>
              </a:moveTo>
              <a:lnTo>
                <a:pt x="0" y="223"/>
              </a:lnTo>
              <a:lnTo>
                <a:pt x="1" y="223"/>
              </a:lnTo>
              <a:lnTo>
                <a:pt x="1" y="226"/>
              </a:lnTo>
              <a:lnTo>
                <a:pt x="0" y="226"/>
              </a:lnTo>
              <a:close/>
              <a:moveTo>
                <a:pt x="0" y="222"/>
              </a:moveTo>
              <a:lnTo>
                <a:pt x="0" y="219"/>
              </a:lnTo>
              <a:lnTo>
                <a:pt x="1" y="219"/>
              </a:lnTo>
              <a:lnTo>
                <a:pt x="1" y="222"/>
              </a:lnTo>
              <a:lnTo>
                <a:pt x="0" y="222"/>
              </a:lnTo>
              <a:close/>
              <a:moveTo>
                <a:pt x="0" y="218"/>
              </a:moveTo>
              <a:lnTo>
                <a:pt x="0" y="215"/>
              </a:lnTo>
              <a:lnTo>
                <a:pt x="1" y="215"/>
              </a:lnTo>
              <a:lnTo>
                <a:pt x="1" y="218"/>
              </a:lnTo>
              <a:lnTo>
                <a:pt x="0" y="218"/>
              </a:lnTo>
              <a:close/>
              <a:moveTo>
                <a:pt x="0" y="214"/>
              </a:moveTo>
              <a:lnTo>
                <a:pt x="0" y="211"/>
              </a:lnTo>
              <a:lnTo>
                <a:pt x="1" y="211"/>
              </a:lnTo>
              <a:lnTo>
                <a:pt x="1" y="214"/>
              </a:lnTo>
              <a:lnTo>
                <a:pt x="0" y="214"/>
              </a:lnTo>
              <a:close/>
              <a:moveTo>
                <a:pt x="0" y="210"/>
              </a:moveTo>
              <a:lnTo>
                <a:pt x="0" y="207"/>
              </a:lnTo>
              <a:lnTo>
                <a:pt x="1" y="207"/>
              </a:lnTo>
              <a:lnTo>
                <a:pt x="1" y="210"/>
              </a:lnTo>
              <a:lnTo>
                <a:pt x="0" y="210"/>
              </a:lnTo>
              <a:close/>
              <a:moveTo>
                <a:pt x="0" y="206"/>
              </a:moveTo>
              <a:lnTo>
                <a:pt x="0" y="203"/>
              </a:lnTo>
              <a:lnTo>
                <a:pt x="1" y="203"/>
              </a:lnTo>
              <a:lnTo>
                <a:pt x="1" y="206"/>
              </a:lnTo>
              <a:lnTo>
                <a:pt x="0" y="206"/>
              </a:lnTo>
              <a:close/>
              <a:moveTo>
                <a:pt x="0" y="202"/>
              </a:moveTo>
              <a:lnTo>
                <a:pt x="0" y="199"/>
              </a:lnTo>
              <a:lnTo>
                <a:pt x="1" y="199"/>
              </a:lnTo>
              <a:lnTo>
                <a:pt x="1" y="202"/>
              </a:lnTo>
              <a:lnTo>
                <a:pt x="0" y="202"/>
              </a:lnTo>
              <a:close/>
              <a:moveTo>
                <a:pt x="0" y="198"/>
              </a:moveTo>
              <a:lnTo>
                <a:pt x="0" y="195"/>
              </a:lnTo>
              <a:lnTo>
                <a:pt x="1" y="195"/>
              </a:lnTo>
              <a:lnTo>
                <a:pt x="1" y="198"/>
              </a:lnTo>
              <a:lnTo>
                <a:pt x="0" y="198"/>
              </a:lnTo>
              <a:close/>
              <a:moveTo>
                <a:pt x="0" y="194"/>
              </a:moveTo>
              <a:lnTo>
                <a:pt x="0" y="191"/>
              </a:lnTo>
              <a:lnTo>
                <a:pt x="1" y="191"/>
              </a:lnTo>
              <a:lnTo>
                <a:pt x="1" y="194"/>
              </a:lnTo>
              <a:lnTo>
                <a:pt x="0" y="194"/>
              </a:lnTo>
              <a:close/>
              <a:moveTo>
                <a:pt x="0" y="190"/>
              </a:moveTo>
              <a:lnTo>
                <a:pt x="0" y="187"/>
              </a:lnTo>
              <a:lnTo>
                <a:pt x="1" y="187"/>
              </a:lnTo>
              <a:lnTo>
                <a:pt x="1" y="190"/>
              </a:lnTo>
              <a:lnTo>
                <a:pt x="0" y="190"/>
              </a:lnTo>
              <a:close/>
              <a:moveTo>
                <a:pt x="0" y="186"/>
              </a:moveTo>
              <a:lnTo>
                <a:pt x="0" y="183"/>
              </a:lnTo>
              <a:lnTo>
                <a:pt x="1" y="183"/>
              </a:lnTo>
              <a:lnTo>
                <a:pt x="1" y="186"/>
              </a:lnTo>
              <a:lnTo>
                <a:pt x="0" y="186"/>
              </a:lnTo>
              <a:close/>
              <a:moveTo>
                <a:pt x="0" y="182"/>
              </a:moveTo>
              <a:lnTo>
                <a:pt x="0" y="179"/>
              </a:lnTo>
              <a:lnTo>
                <a:pt x="1" y="179"/>
              </a:lnTo>
              <a:lnTo>
                <a:pt x="1" y="182"/>
              </a:lnTo>
              <a:lnTo>
                <a:pt x="0" y="182"/>
              </a:lnTo>
              <a:close/>
              <a:moveTo>
                <a:pt x="0" y="178"/>
              </a:moveTo>
              <a:lnTo>
                <a:pt x="0" y="175"/>
              </a:lnTo>
              <a:lnTo>
                <a:pt x="1" y="175"/>
              </a:lnTo>
              <a:lnTo>
                <a:pt x="1" y="178"/>
              </a:lnTo>
              <a:lnTo>
                <a:pt x="0" y="178"/>
              </a:lnTo>
              <a:close/>
              <a:moveTo>
                <a:pt x="0" y="174"/>
              </a:moveTo>
              <a:lnTo>
                <a:pt x="0" y="172"/>
              </a:lnTo>
              <a:lnTo>
                <a:pt x="1" y="172"/>
              </a:lnTo>
              <a:lnTo>
                <a:pt x="1" y="174"/>
              </a:lnTo>
              <a:lnTo>
                <a:pt x="0" y="174"/>
              </a:lnTo>
              <a:close/>
              <a:moveTo>
                <a:pt x="0" y="171"/>
              </a:moveTo>
              <a:lnTo>
                <a:pt x="0" y="168"/>
              </a:lnTo>
              <a:lnTo>
                <a:pt x="1" y="168"/>
              </a:lnTo>
              <a:lnTo>
                <a:pt x="1" y="171"/>
              </a:lnTo>
              <a:lnTo>
                <a:pt x="0" y="171"/>
              </a:lnTo>
              <a:close/>
              <a:moveTo>
                <a:pt x="0" y="167"/>
              </a:moveTo>
              <a:lnTo>
                <a:pt x="0" y="164"/>
              </a:lnTo>
              <a:lnTo>
                <a:pt x="1" y="164"/>
              </a:lnTo>
              <a:lnTo>
                <a:pt x="1" y="167"/>
              </a:lnTo>
              <a:lnTo>
                <a:pt x="0" y="167"/>
              </a:lnTo>
              <a:close/>
              <a:moveTo>
                <a:pt x="0" y="163"/>
              </a:moveTo>
              <a:lnTo>
                <a:pt x="0" y="160"/>
              </a:lnTo>
              <a:lnTo>
                <a:pt x="1" y="160"/>
              </a:lnTo>
              <a:lnTo>
                <a:pt x="1" y="163"/>
              </a:lnTo>
              <a:lnTo>
                <a:pt x="0" y="163"/>
              </a:lnTo>
              <a:close/>
              <a:moveTo>
                <a:pt x="0" y="159"/>
              </a:moveTo>
              <a:lnTo>
                <a:pt x="0" y="156"/>
              </a:lnTo>
              <a:lnTo>
                <a:pt x="1" y="156"/>
              </a:lnTo>
              <a:lnTo>
                <a:pt x="1" y="159"/>
              </a:lnTo>
              <a:lnTo>
                <a:pt x="0" y="159"/>
              </a:lnTo>
              <a:close/>
              <a:moveTo>
                <a:pt x="0" y="155"/>
              </a:moveTo>
              <a:lnTo>
                <a:pt x="0" y="152"/>
              </a:lnTo>
              <a:lnTo>
                <a:pt x="1" y="152"/>
              </a:lnTo>
              <a:lnTo>
                <a:pt x="1" y="155"/>
              </a:lnTo>
              <a:lnTo>
                <a:pt x="0" y="155"/>
              </a:lnTo>
              <a:close/>
              <a:moveTo>
                <a:pt x="0" y="151"/>
              </a:moveTo>
              <a:lnTo>
                <a:pt x="0" y="148"/>
              </a:lnTo>
              <a:lnTo>
                <a:pt x="1" y="148"/>
              </a:lnTo>
              <a:lnTo>
                <a:pt x="1" y="151"/>
              </a:lnTo>
              <a:lnTo>
                <a:pt x="0" y="151"/>
              </a:lnTo>
              <a:close/>
              <a:moveTo>
                <a:pt x="0" y="147"/>
              </a:moveTo>
              <a:lnTo>
                <a:pt x="0" y="144"/>
              </a:lnTo>
              <a:lnTo>
                <a:pt x="1" y="144"/>
              </a:lnTo>
              <a:lnTo>
                <a:pt x="1" y="147"/>
              </a:lnTo>
              <a:lnTo>
                <a:pt x="0" y="147"/>
              </a:lnTo>
              <a:close/>
              <a:moveTo>
                <a:pt x="0" y="143"/>
              </a:moveTo>
              <a:lnTo>
                <a:pt x="0" y="140"/>
              </a:lnTo>
              <a:lnTo>
                <a:pt x="1" y="140"/>
              </a:lnTo>
              <a:lnTo>
                <a:pt x="1" y="143"/>
              </a:lnTo>
              <a:lnTo>
                <a:pt x="0" y="143"/>
              </a:lnTo>
              <a:close/>
              <a:moveTo>
                <a:pt x="0" y="139"/>
              </a:moveTo>
              <a:lnTo>
                <a:pt x="0" y="136"/>
              </a:lnTo>
              <a:lnTo>
                <a:pt x="1" y="136"/>
              </a:lnTo>
              <a:lnTo>
                <a:pt x="1" y="139"/>
              </a:lnTo>
              <a:lnTo>
                <a:pt x="0" y="139"/>
              </a:lnTo>
              <a:close/>
              <a:moveTo>
                <a:pt x="0" y="135"/>
              </a:moveTo>
              <a:lnTo>
                <a:pt x="0" y="132"/>
              </a:lnTo>
              <a:lnTo>
                <a:pt x="1" y="132"/>
              </a:lnTo>
              <a:lnTo>
                <a:pt x="1" y="135"/>
              </a:lnTo>
              <a:lnTo>
                <a:pt x="0" y="135"/>
              </a:lnTo>
              <a:close/>
              <a:moveTo>
                <a:pt x="0" y="131"/>
              </a:moveTo>
              <a:lnTo>
                <a:pt x="0" y="128"/>
              </a:lnTo>
              <a:lnTo>
                <a:pt x="1" y="128"/>
              </a:lnTo>
              <a:lnTo>
                <a:pt x="1" y="131"/>
              </a:lnTo>
              <a:lnTo>
                <a:pt x="0" y="131"/>
              </a:lnTo>
              <a:close/>
              <a:moveTo>
                <a:pt x="0" y="127"/>
              </a:moveTo>
              <a:lnTo>
                <a:pt x="0" y="124"/>
              </a:lnTo>
              <a:lnTo>
                <a:pt x="1" y="124"/>
              </a:lnTo>
              <a:lnTo>
                <a:pt x="1" y="127"/>
              </a:lnTo>
              <a:lnTo>
                <a:pt x="0" y="127"/>
              </a:lnTo>
              <a:close/>
              <a:moveTo>
                <a:pt x="0" y="123"/>
              </a:moveTo>
              <a:lnTo>
                <a:pt x="0" y="120"/>
              </a:lnTo>
              <a:lnTo>
                <a:pt x="1" y="120"/>
              </a:lnTo>
              <a:lnTo>
                <a:pt x="1" y="123"/>
              </a:lnTo>
              <a:lnTo>
                <a:pt x="0" y="123"/>
              </a:lnTo>
              <a:close/>
              <a:moveTo>
                <a:pt x="0" y="119"/>
              </a:moveTo>
              <a:lnTo>
                <a:pt x="0" y="116"/>
              </a:lnTo>
              <a:lnTo>
                <a:pt x="1" y="116"/>
              </a:lnTo>
              <a:lnTo>
                <a:pt x="1" y="119"/>
              </a:lnTo>
              <a:lnTo>
                <a:pt x="0" y="119"/>
              </a:lnTo>
              <a:close/>
              <a:moveTo>
                <a:pt x="0" y="115"/>
              </a:moveTo>
              <a:lnTo>
                <a:pt x="0" y="112"/>
              </a:lnTo>
              <a:lnTo>
                <a:pt x="1" y="112"/>
              </a:lnTo>
              <a:lnTo>
                <a:pt x="1" y="115"/>
              </a:lnTo>
              <a:lnTo>
                <a:pt x="0" y="115"/>
              </a:lnTo>
              <a:close/>
              <a:moveTo>
                <a:pt x="0" y="111"/>
              </a:moveTo>
              <a:lnTo>
                <a:pt x="0" y="108"/>
              </a:lnTo>
              <a:lnTo>
                <a:pt x="1" y="108"/>
              </a:lnTo>
              <a:lnTo>
                <a:pt x="1" y="111"/>
              </a:lnTo>
              <a:lnTo>
                <a:pt x="0" y="111"/>
              </a:lnTo>
              <a:close/>
              <a:moveTo>
                <a:pt x="0" y="107"/>
              </a:moveTo>
              <a:lnTo>
                <a:pt x="0" y="104"/>
              </a:lnTo>
              <a:lnTo>
                <a:pt x="1" y="104"/>
              </a:lnTo>
              <a:lnTo>
                <a:pt x="1" y="107"/>
              </a:lnTo>
              <a:lnTo>
                <a:pt x="0" y="107"/>
              </a:lnTo>
              <a:close/>
              <a:moveTo>
                <a:pt x="0" y="103"/>
              </a:moveTo>
              <a:lnTo>
                <a:pt x="0" y="100"/>
              </a:lnTo>
              <a:lnTo>
                <a:pt x="1" y="100"/>
              </a:lnTo>
              <a:lnTo>
                <a:pt x="1" y="103"/>
              </a:lnTo>
              <a:lnTo>
                <a:pt x="0" y="103"/>
              </a:lnTo>
              <a:close/>
              <a:moveTo>
                <a:pt x="0" y="99"/>
              </a:moveTo>
              <a:lnTo>
                <a:pt x="0" y="96"/>
              </a:lnTo>
              <a:lnTo>
                <a:pt x="1" y="96"/>
              </a:lnTo>
              <a:lnTo>
                <a:pt x="1" y="99"/>
              </a:lnTo>
              <a:lnTo>
                <a:pt x="0" y="99"/>
              </a:lnTo>
              <a:close/>
              <a:moveTo>
                <a:pt x="0" y="95"/>
              </a:moveTo>
              <a:lnTo>
                <a:pt x="0" y="92"/>
              </a:lnTo>
              <a:lnTo>
                <a:pt x="1" y="92"/>
              </a:lnTo>
              <a:lnTo>
                <a:pt x="1" y="95"/>
              </a:lnTo>
              <a:lnTo>
                <a:pt x="0" y="95"/>
              </a:lnTo>
              <a:close/>
              <a:moveTo>
                <a:pt x="0" y="91"/>
              </a:moveTo>
              <a:lnTo>
                <a:pt x="0" y="88"/>
              </a:lnTo>
              <a:lnTo>
                <a:pt x="1" y="88"/>
              </a:lnTo>
              <a:lnTo>
                <a:pt x="1" y="91"/>
              </a:lnTo>
              <a:lnTo>
                <a:pt x="0" y="91"/>
              </a:lnTo>
              <a:close/>
              <a:moveTo>
                <a:pt x="0" y="87"/>
              </a:moveTo>
              <a:lnTo>
                <a:pt x="0" y="84"/>
              </a:lnTo>
              <a:lnTo>
                <a:pt x="1" y="84"/>
              </a:lnTo>
              <a:lnTo>
                <a:pt x="1" y="87"/>
              </a:lnTo>
              <a:lnTo>
                <a:pt x="0" y="87"/>
              </a:lnTo>
              <a:close/>
              <a:moveTo>
                <a:pt x="0" y="83"/>
              </a:moveTo>
              <a:lnTo>
                <a:pt x="0" y="80"/>
              </a:lnTo>
              <a:lnTo>
                <a:pt x="1" y="80"/>
              </a:lnTo>
              <a:lnTo>
                <a:pt x="1" y="83"/>
              </a:lnTo>
              <a:lnTo>
                <a:pt x="0" y="83"/>
              </a:lnTo>
              <a:close/>
              <a:moveTo>
                <a:pt x="0" y="79"/>
              </a:moveTo>
              <a:lnTo>
                <a:pt x="0" y="76"/>
              </a:lnTo>
              <a:lnTo>
                <a:pt x="1" y="76"/>
              </a:lnTo>
              <a:lnTo>
                <a:pt x="1" y="79"/>
              </a:lnTo>
              <a:lnTo>
                <a:pt x="0" y="79"/>
              </a:lnTo>
              <a:close/>
              <a:moveTo>
                <a:pt x="0" y="75"/>
              </a:moveTo>
              <a:lnTo>
                <a:pt x="0" y="72"/>
              </a:lnTo>
              <a:lnTo>
                <a:pt x="1" y="72"/>
              </a:lnTo>
              <a:lnTo>
                <a:pt x="1" y="75"/>
              </a:lnTo>
              <a:lnTo>
                <a:pt x="0" y="75"/>
              </a:lnTo>
              <a:close/>
              <a:moveTo>
                <a:pt x="0" y="71"/>
              </a:moveTo>
              <a:lnTo>
                <a:pt x="0" y="68"/>
              </a:lnTo>
              <a:lnTo>
                <a:pt x="1" y="68"/>
              </a:lnTo>
              <a:lnTo>
                <a:pt x="1" y="71"/>
              </a:lnTo>
              <a:lnTo>
                <a:pt x="0" y="71"/>
              </a:lnTo>
              <a:close/>
              <a:moveTo>
                <a:pt x="0" y="67"/>
              </a:moveTo>
              <a:lnTo>
                <a:pt x="0" y="64"/>
              </a:lnTo>
              <a:lnTo>
                <a:pt x="1" y="64"/>
              </a:lnTo>
              <a:lnTo>
                <a:pt x="1" y="67"/>
              </a:lnTo>
              <a:lnTo>
                <a:pt x="0" y="67"/>
              </a:lnTo>
              <a:close/>
              <a:moveTo>
                <a:pt x="0" y="63"/>
              </a:moveTo>
              <a:lnTo>
                <a:pt x="0" y="60"/>
              </a:lnTo>
              <a:lnTo>
                <a:pt x="1" y="60"/>
              </a:lnTo>
              <a:lnTo>
                <a:pt x="1" y="63"/>
              </a:lnTo>
              <a:lnTo>
                <a:pt x="0" y="63"/>
              </a:lnTo>
              <a:close/>
              <a:moveTo>
                <a:pt x="0" y="59"/>
              </a:moveTo>
              <a:lnTo>
                <a:pt x="0" y="56"/>
              </a:lnTo>
              <a:lnTo>
                <a:pt x="1" y="56"/>
              </a:lnTo>
              <a:lnTo>
                <a:pt x="1" y="59"/>
              </a:lnTo>
              <a:lnTo>
                <a:pt x="0" y="59"/>
              </a:lnTo>
              <a:close/>
              <a:moveTo>
                <a:pt x="0" y="55"/>
              </a:moveTo>
              <a:lnTo>
                <a:pt x="0" y="52"/>
              </a:lnTo>
              <a:lnTo>
                <a:pt x="1" y="52"/>
              </a:lnTo>
              <a:lnTo>
                <a:pt x="1" y="55"/>
              </a:lnTo>
              <a:lnTo>
                <a:pt x="0" y="55"/>
              </a:lnTo>
              <a:close/>
              <a:moveTo>
                <a:pt x="0" y="51"/>
              </a:moveTo>
              <a:lnTo>
                <a:pt x="0" y="51"/>
              </a:lnTo>
              <a:lnTo>
                <a:pt x="0" y="48"/>
              </a:lnTo>
              <a:lnTo>
                <a:pt x="1" y="49"/>
              </a:lnTo>
              <a:lnTo>
                <a:pt x="1" y="51"/>
              </a:lnTo>
              <a:lnTo>
                <a:pt x="1" y="51"/>
              </a:lnTo>
              <a:lnTo>
                <a:pt x="1" y="51"/>
              </a:lnTo>
              <a:lnTo>
                <a:pt x="0" y="51"/>
              </a:lnTo>
              <a:close/>
              <a:moveTo>
                <a:pt x="0" y="47"/>
              </a:moveTo>
              <a:lnTo>
                <a:pt x="0" y="46"/>
              </a:lnTo>
              <a:lnTo>
                <a:pt x="0" y="44"/>
              </a:lnTo>
              <a:lnTo>
                <a:pt x="1" y="45"/>
              </a:lnTo>
              <a:lnTo>
                <a:pt x="1" y="46"/>
              </a:lnTo>
              <a:lnTo>
                <a:pt x="1" y="46"/>
              </a:lnTo>
              <a:lnTo>
                <a:pt x="1" y="48"/>
              </a:lnTo>
              <a:lnTo>
                <a:pt x="0" y="47"/>
              </a:lnTo>
              <a:close/>
              <a:moveTo>
                <a:pt x="1" y="44"/>
              </a:moveTo>
              <a:lnTo>
                <a:pt x="1" y="41"/>
              </a:lnTo>
              <a:lnTo>
                <a:pt x="1" y="41"/>
              </a:lnTo>
              <a:lnTo>
                <a:pt x="2" y="41"/>
              </a:lnTo>
              <a:lnTo>
                <a:pt x="2" y="41"/>
              </a:lnTo>
              <a:lnTo>
                <a:pt x="2" y="41"/>
              </a:lnTo>
              <a:lnTo>
                <a:pt x="2" y="44"/>
              </a:lnTo>
              <a:lnTo>
                <a:pt x="1" y="44"/>
              </a:lnTo>
              <a:close/>
              <a:moveTo>
                <a:pt x="1" y="40"/>
              </a:moveTo>
              <a:lnTo>
                <a:pt x="2" y="37"/>
              </a:lnTo>
              <a:lnTo>
                <a:pt x="3" y="37"/>
              </a:lnTo>
              <a:lnTo>
                <a:pt x="2" y="40"/>
              </a:lnTo>
              <a:lnTo>
                <a:pt x="1" y="40"/>
              </a:lnTo>
              <a:close/>
              <a:moveTo>
                <a:pt x="2" y="36"/>
              </a:moveTo>
              <a:lnTo>
                <a:pt x="3" y="33"/>
              </a:lnTo>
              <a:lnTo>
                <a:pt x="4" y="33"/>
              </a:lnTo>
              <a:lnTo>
                <a:pt x="3" y="36"/>
              </a:lnTo>
              <a:lnTo>
                <a:pt x="2" y="36"/>
              </a:lnTo>
              <a:close/>
              <a:moveTo>
                <a:pt x="4" y="32"/>
              </a:moveTo>
              <a:lnTo>
                <a:pt x="4" y="31"/>
              </a:lnTo>
              <a:lnTo>
                <a:pt x="5" y="29"/>
              </a:lnTo>
              <a:lnTo>
                <a:pt x="6" y="30"/>
              </a:lnTo>
              <a:lnTo>
                <a:pt x="5" y="32"/>
              </a:lnTo>
              <a:lnTo>
                <a:pt x="5" y="32"/>
              </a:lnTo>
              <a:lnTo>
                <a:pt x="5" y="32"/>
              </a:lnTo>
              <a:lnTo>
                <a:pt x="4" y="32"/>
              </a:lnTo>
              <a:close/>
              <a:moveTo>
                <a:pt x="5" y="28"/>
              </a:moveTo>
              <a:lnTo>
                <a:pt x="6" y="27"/>
              </a:lnTo>
              <a:lnTo>
                <a:pt x="7" y="26"/>
              </a:lnTo>
              <a:lnTo>
                <a:pt x="8" y="26"/>
              </a:lnTo>
              <a:lnTo>
                <a:pt x="7" y="27"/>
              </a:lnTo>
              <a:lnTo>
                <a:pt x="7" y="27"/>
              </a:lnTo>
              <a:lnTo>
                <a:pt x="6" y="29"/>
              </a:lnTo>
              <a:lnTo>
                <a:pt x="5" y="28"/>
              </a:lnTo>
              <a:close/>
              <a:moveTo>
                <a:pt x="7" y="25"/>
              </a:moveTo>
              <a:lnTo>
                <a:pt x="9" y="23"/>
              </a:lnTo>
              <a:lnTo>
                <a:pt x="9" y="22"/>
              </a:lnTo>
              <a:lnTo>
                <a:pt x="10" y="23"/>
              </a:lnTo>
              <a:lnTo>
                <a:pt x="9" y="23"/>
              </a:lnTo>
              <a:lnTo>
                <a:pt x="9" y="23"/>
              </a:lnTo>
              <a:lnTo>
                <a:pt x="8" y="25"/>
              </a:lnTo>
              <a:lnTo>
                <a:pt x="7" y="25"/>
              </a:lnTo>
              <a:close/>
              <a:moveTo>
                <a:pt x="10" y="21"/>
              </a:moveTo>
              <a:lnTo>
                <a:pt x="11" y="19"/>
              </a:lnTo>
              <a:lnTo>
                <a:pt x="12" y="20"/>
              </a:lnTo>
              <a:lnTo>
                <a:pt x="10" y="22"/>
              </a:lnTo>
              <a:lnTo>
                <a:pt x="10" y="21"/>
              </a:lnTo>
              <a:close/>
              <a:moveTo>
                <a:pt x="12" y="18"/>
              </a:moveTo>
              <a:lnTo>
                <a:pt x="14" y="16"/>
              </a:lnTo>
              <a:lnTo>
                <a:pt x="15" y="17"/>
              </a:lnTo>
              <a:lnTo>
                <a:pt x="13" y="19"/>
              </a:lnTo>
              <a:lnTo>
                <a:pt x="12" y="18"/>
              </a:lnTo>
              <a:close/>
              <a:moveTo>
                <a:pt x="15" y="15"/>
              </a:moveTo>
              <a:lnTo>
                <a:pt x="15" y="15"/>
              </a:lnTo>
              <a:lnTo>
                <a:pt x="17" y="13"/>
              </a:lnTo>
              <a:lnTo>
                <a:pt x="18" y="14"/>
              </a:lnTo>
              <a:lnTo>
                <a:pt x="15" y="16"/>
              </a:lnTo>
              <a:lnTo>
                <a:pt x="15" y="16"/>
              </a:lnTo>
              <a:lnTo>
                <a:pt x="15" y="16"/>
              </a:lnTo>
              <a:lnTo>
                <a:pt x="15" y="15"/>
              </a:lnTo>
              <a:close/>
              <a:moveTo>
                <a:pt x="18" y="13"/>
              </a:moveTo>
              <a:lnTo>
                <a:pt x="18" y="12"/>
              </a:lnTo>
              <a:lnTo>
                <a:pt x="20" y="11"/>
              </a:lnTo>
              <a:lnTo>
                <a:pt x="21" y="11"/>
              </a:lnTo>
              <a:lnTo>
                <a:pt x="19" y="13"/>
              </a:lnTo>
              <a:lnTo>
                <a:pt x="19" y="13"/>
              </a:lnTo>
              <a:lnTo>
                <a:pt x="18" y="13"/>
              </a:lnTo>
              <a:lnTo>
                <a:pt x="18" y="13"/>
              </a:lnTo>
              <a:close/>
              <a:moveTo>
                <a:pt x="21" y="10"/>
              </a:moveTo>
              <a:lnTo>
                <a:pt x="22" y="9"/>
              </a:lnTo>
              <a:lnTo>
                <a:pt x="23" y="8"/>
              </a:lnTo>
              <a:lnTo>
                <a:pt x="24" y="9"/>
              </a:lnTo>
              <a:lnTo>
                <a:pt x="23" y="10"/>
              </a:lnTo>
              <a:lnTo>
                <a:pt x="23" y="10"/>
              </a:lnTo>
              <a:lnTo>
                <a:pt x="21" y="11"/>
              </a:lnTo>
              <a:lnTo>
                <a:pt x="21" y="10"/>
              </a:lnTo>
              <a:close/>
              <a:moveTo>
                <a:pt x="24" y="8"/>
              </a:moveTo>
              <a:lnTo>
                <a:pt x="26" y="7"/>
              </a:lnTo>
              <a:lnTo>
                <a:pt x="27" y="6"/>
              </a:lnTo>
              <a:lnTo>
                <a:pt x="27" y="7"/>
              </a:lnTo>
              <a:lnTo>
                <a:pt x="27" y="7"/>
              </a:lnTo>
              <a:lnTo>
                <a:pt x="27" y="7"/>
              </a:lnTo>
              <a:lnTo>
                <a:pt x="25" y="9"/>
              </a:lnTo>
              <a:lnTo>
                <a:pt x="24" y="8"/>
              </a:lnTo>
              <a:close/>
              <a:moveTo>
                <a:pt x="28" y="6"/>
              </a:moveTo>
              <a:lnTo>
                <a:pt x="31" y="5"/>
              </a:lnTo>
              <a:lnTo>
                <a:pt x="31" y="6"/>
              </a:lnTo>
              <a:lnTo>
                <a:pt x="28" y="7"/>
              </a:lnTo>
              <a:lnTo>
                <a:pt x="28" y="6"/>
              </a:lnTo>
              <a:close/>
              <a:moveTo>
                <a:pt x="31" y="4"/>
              </a:moveTo>
              <a:lnTo>
                <a:pt x="34" y="3"/>
              </a:lnTo>
              <a:lnTo>
                <a:pt x="35" y="4"/>
              </a:lnTo>
              <a:lnTo>
                <a:pt x="32" y="5"/>
              </a:lnTo>
              <a:lnTo>
                <a:pt x="31" y="4"/>
              </a:lnTo>
              <a:close/>
              <a:moveTo>
                <a:pt x="35" y="3"/>
              </a:moveTo>
              <a:lnTo>
                <a:pt x="36" y="3"/>
              </a:lnTo>
              <a:lnTo>
                <a:pt x="38" y="2"/>
              </a:lnTo>
              <a:lnTo>
                <a:pt x="38" y="3"/>
              </a:lnTo>
              <a:lnTo>
                <a:pt x="36" y="4"/>
              </a:lnTo>
              <a:lnTo>
                <a:pt x="36" y="4"/>
              </a:lnTo>
              <a:lnTo>
                <a:pt x="36" y="4"/>
              </a:lnTo>
              <a:lnTo>
                <a:pt x="35" y="3"/>
              </a:lnTo>
              <a:close/>
              <a:moveTo>
                <a:pt x="39" y="2"/>
              </a:moveTo>
              <a:lnTo>
                <a:pt x="40" y="2"/>
              </a:lnTo>
              <a:lnTo>
                <a:pt x="42" y="1"/>
              </a:lnTo>
              <a:lnTo>
                <a:pt x="42" y="2"/>
              </a:lnTo>
              <a:lnTo>
                <a:pt x="41" y="2"/>
              </a:lnTo>
              <a:lnTo>
                <a:pt x="41" y="2"/>
              </a:lnTo>
              <a:lnTo>
                <a:pt x="39" y="3"/>
              </a:lnTo>
              <a:lnTo>
                <a:pt x="39" y="2"/>
              </a:lnTo>
              <a:close/>
              <a:moveTo>
                <a:pt x="43" y="1"/>
              </a:moveTo>
              <a:lnTo>
                <a:pt x="46" y="1"/>
              </a:lnTo>
              <a:lnTo>
                <a:pt x="46" y="1"/>
              </a:lnTo>
              <a:lnTo>
                <a:pt x="46" y="2"/>
              </a:lnTo>
              <a:lnTo>
                <a:pt x="46" y="2"/>
              </a:lnTo>
              <a:lnTo>
                <a:pt x="46" y="2"/>
              </a:lnTo>
              <a:lnTo>
                <a:pt x="43" y="2"/>
              </a:lnTo>
              <a:lnTo>
                <a:pt x="43" y="1"/>
              </a:lnTo>
              <a:close/>
              <a:moveTo>
                <a:pt x="47" y="1"/>
              </a:moveTo>
              <a:lnTo>
                <a:pt x="50" y="1"/>
              </a:lnTo>
              <a:lnTo>
                <a:pt x="50" y="2"/>
              </a:lnTo>
              <a:lnTo>
                <a:pt x="47" y="2"/>
              </a:lnTo>
              <a:lnTo>
                <a:pt x="47" y="1"/>
              </a:lnTo>
              <a:close/>
              <a:moveTo>
                <a:pt x="51" y="0"/>
              </a:moveTo>
              <a:lnTo>
                <a:pt x="54" y="0"/>
              </a:lnTo>
              <a:lnTo>
                <a:pt x="54" y="1"/>
              </a:lnTo>
              <a:lnTo>
                <a:pt x="51" y="1"/>
              </a:lnTo>
              <a:lnTo>
                <a:pt x="51" y="0"/>
              </a:lnTo>
              <a:close/>
              <a:moveTo>
                <a:pt x="55" y="0"/>
              </a:moveTo>
              <a:lnTo>
                <a:pt x="58" y="0"/>
              </a:lnTo>
              <a:lnTo>
                <a:pt x="58" y="1"/>
              </a:lnTo>
              <a:lnTo>
                <a:pt x="55" y="1"/>
              </a:lnTo>
              <a:lnTo>
                <a:pt x="55" y="0"/>
              </a:lnTo>
              <a:close/>
              <a:moveTo>
                <a:pt x="59" y="0"/>
              </a:moveTo>
              <a:lnTo>
                <a:pt x="62" y="0"/>
              </a:lnTo>
              <a:lnTo>
                <a:pt x="62" y="1"/>
              </a:lnTo>
              <a:lnTo>
                <a:pt x="59" y="1"/>
              </a:lnTo>
              <a:lnTo>
                <a:pt x="59" y="0"/>
              </a:lnTo>
              <a:close/>
              <a:moveTo>
                <a:pt x="63" y="0"/>
              </a:moveTo>
              <a:lnTo>
                <a:pt x="66" y="0"/>
              </a:lnTo>
              <a:lnTo>
                <a:pt x="66" y="1"/>
              </a:lnTo>
              <a:lnTo>
                <a:pt x="63" y="1"/>
              </a:lnTo>
              <a:lnTo>
                <a:pt x="63" y="0"/>
              </a:lnTo>
              <a:close/>
              <a:moveTo>
                <a:pt x="67" y="0"/>
              </a:moveTo>
              <a:lnTo>
                <a:pt x="70" y="0"/>
              </a:lnTo>
              <a:lnTo>
                <a:pt x="70" y="1"/>
              </a:lnTo>
              <a:lnTo>
                <a:pt x="67" y="1"/>
              </a:lnTo>
              <a:lnTo>
                <a:pt x="67" y="0"/>
              </a:lnTo>
              <a:close/>
              <a:moveTo>
                <a:pt x="71" y="0"/>
              </a:moveTo>
              <a:lnTo>
                <a:pt x="74" y="0"/>
              </a:lnTo>
              <a:lnTo>
                <a:pt x="74" y="1"/>
              </a:lnTo>
              <a:lnTo>
                <a:pt x="71" y="1"/>
              </a:lnTo>
              <a:lnTo>
                <a:pt x="71" y="0"/>
              </a:lnTo>
              <a:close/>
              <a:moveTo>
                <a:pt x="75" y="0"/>
              </a:moveTo>
              <a:lnTo>
                <a:pt x="78" y="0"/>
              </a:lnTo>
              <a:lnTo>
                <a:pt x="78" y="1"/>
              </a:lnTo>
              <a:lnTo>
                <a:pt x="75" y="1"/>
              </a:lnTo>
              <a:lnTo>
                <a:pt x="75" y="0"/>
              </a:lnTo>
              <a:close/>
              <a:moveTo>
                <a:pt x="79" y="0"/>
              </a:moveTo>
              <a:lnTo>
                <a:pt x="82" y="0"/>
              </a:lnTo>
              <a:lnTo>
                <a:pt x="82" y="1"/>
              </a:lnTo>
              <a:lnTo>
                <a:pt x="79" y="1"/>
              </a:lnTo>
              <a:lnTo>
                <a:pt x="79" y="0"/>
              </a:lnTo>
              <a:close/>
              <a:moveTo>
                <a:pt x="83" y="0"/>
              </a:moveTo>
              <a:lnTo>
                <a:pt x="86" y="0"/>
              </a:lnTo>
              <a:lnTo>
                <a:pt x="86" y="1"/>
              </a:lnTo>
              <a:lnTo>
                <a:pt x="83" y="1"/>
              </a:lnTo>
              <a:lnTo>
                <a:pt x="83" y="0"/>
              </a:lnTo>
              <a:close/>
              <a:moveTo>
                <a:pt x="87" y="0"/>
              </a:moveTo>
              <a:lnTo>
                <a:pt x="90" y="0"/>
              </a:lnTo>
              <a:lnTo>
                <a:pt x="90" y="1"/>
              </a:lnTo>
              <a:lnTo>
                <a:pt x="87" y="1"/>
              </a:lnTo>
              <a:lnTo>
                <a:pt x="87" y="0"/>
              </a:lnTo>
              <a:close/>
              <a:moveTo>
                <a:pt x="91" y="0"/>
              </a:moveTo>
              <a:lnTo>
                <a:pt x="94" y="0"/>
              </a:lnTo>
              <a:lnTo>
                <a:pt x="94" y="1"/>
              </a:lnTo>
              <a:lnTo>
                <a:pt x="91" y="1"/>
              </a:lnTo>
              <a:lnTo>
                <a:pt x="91" y="0"/>
              </a:lnTo>
              <a:close/>
              <a:moveTo>
                <a:pt x="95" y="0"/>
              </a:moveTo>
              <a:lnTo>
                <a:pt x="98" y="0"/>
              </a:lnTo>
              <a:lnTo>
                <a:pt x="98" y="1"/>
              </a:lnTo>
              <a:lnTo>
                <a:pt x="95" y="1"/>
              </a:lnTo>
              <a:lnTo>
                <a:pt x="95" y="0"/>
              </a:lnTo>
              <a:close/>
              <a:moveTo>
                <a:pt x="99" y="0"/>
              </a:moveTo>
              <a:lnTo>
                <a:pt x="102" y="0"/>
              </a:lnTo>
              <a:lnTo>
                <a:pt x="102" y="1"/>
              </a:lnTo>
              <a:lnTo>
                <a:pt x="99" y="1"/>
              </a:lnTo>
              <a:lnTo>
                <a:pt x="99" y="0"/>
              </a:lnTo>
              <a:close/>
              <a:moveTo>
                <a:pt x="103" y="0"/>
              </a:moveTo>
              <a:lnTo>
                <a:pt x="106" y="0"/>
              </a:lnTo>
              <a:lnTo>
                <a:pt x="106" y="1"/>
              </a:lnTo>
              <a:lnTo>
                <a:pt x="103" y="1"/>
              </a:lnTo>
              <a:lnTo>
                <a:pt x="103" y="0"/>
              </a:lnTo>
              <a:close/>
              <a:moveTo>
                <a:pt x="107" y="0"/>
              </a:moveTo>
              <a:lnTo>
                <a:pt x="110" y="0"/>
              </a:lnTo>
              <a:lnTo>
                <a:pt x="110" y="1"/>
              </a:lnTo>
              <a:lnTo>
                <a:pt x="107" y="1"/>
              </a:lnTo>
              <a:lnTo>
                <a:pt x="107" y="0"/>
              </a:lnTo>
              <a:close/>
              <a:moveTo>
                <a:pt x="111" y="0"/>
              </a:moveTo>
              <a:lnTo>
                <a:pt x="114" y="0"/>
              </a:lnTo>
              <a:lnTo>
                <a:pt x="114" y="1"/>
              </a:lnTo>
              <a:lnTo>
                <a:pt x="111" y="1"/>
              </a:lnTo>
              <a:lnTo>
                <a:pt x="111" y="0"/>
              </a:lnTo>
              <a:close/>
              <a:moveTo>
                <a:pt x="115" y="0"/>
              </a:moveTo>
              <a:lnTo>
                <a:pt x="118" y="0"/>
              </a:lnTo>
              <a:lnTo>
                <a:pt x="118" y="1"/>
              </a:lnTo>
              <a:lnTo>
                <a:pt x="115" y="1"/>
              </a:lnTo>
              <a:lnTo>
                <a:pt x="115" y="0"/>
              </a:lnTo>
              <a:close/>
              <a:moveTo>
                <a:pt x="119" y="0"/>
              </a:moveTo>
              <a:lnTo>
                <a:pt x="122" y="0"/>
              </a:lnTo>
              <a:lnTo>
                <a:pt x="122" y="1"/>
              </a:lnTo>
              <a:lnTo>
                <a:pt x="119" y="1"/>
              </a:lnTo>
              <a:lnTo>
                <a:pt x="119" y="0"/>
              </a:lnTo>
              <a:close/>
              <a:moveTo>
                <a:pt x="123" y="0"/>
              </a:moveTo>
              <a:lnTo>
                <a:pt x="126" y="0"/>
              </a:lnTo>
              <a:lnTo>
                <a:pt x="126" y="1"/>
              </a:lnTo>
              <a:lnTo>
                <a:pt x="123" y="1"/>
              </a:lnTo>
              <a:lnTo>
                <a:pt x="123" y="0"/>
              </a:lnTo>
              <a:close/>
              <a:moveTo>
                <a:pt x="127" y="0"/>
              </a:moveTo>
              <a:lnTo>
                <a:pt x="130" y="0"/>
              </a:lnTo>
              <a:lnTo>
                <a:pt x="130" y="1"/>
              </a:lnTo>
              <a:lnTo>
                <a:pt x="127" y="1"/>
              </a:lnTo>
              <a:lnTo>
                <a:pt x="127" y="0"/>
              </a:lnTo>
              <a:close/>
              <a:moveTo>
                <a:pt x="131" y="0"/>
              </a:moveTo>
              <a:lnTo>
                <a:pt x="134" y="0"/>
              </a:lnTo>
              <a:lnTo>
                <a:pt x="134" y="1"/>
              </a:lnTo>
              <a:lnTo>
                <a:pt x="131" y="1"/>
              </a:lnTo>
              <a:lnTo>
                <a:pt x="131" y="0"/>
              </a:lnTo>
              <a:close/>
              <a:moveTo>
                <a:pt x="135" y="0"/>
              </a:moveTo>
              <a:lnTo>
                <a:pt x="138" y="0"/>
              </a:lnTo>
              <a:lnTo>
                <a:pt x="138" y="1"/>
              </a:lnTo>
              <a:lnTo>
                <a:pt x="135" y="1"/>
              </a:lnTo>
              <a:lnTo>
                <a:pt x="135" y="0"/>
              </a:lnTo>
              <a:close/>
              <a:moveTo>
                <a:pt x="139" y="0"/>
              </a:moveTo>
              <a:lnTo>
                <a:pt x="142" y="0"/>
              </a:lnTo>
              <a:lnTo>
                <a:pt x="142" y="1"/>
              </a:lnTo>
              <a:lnTo>
                <a:pt x="139" y="1"/>
              </a:lnTo>
              <a:lnTo>
                <a:pt x="139" y="0"/>
              </a:lnTo>
              <a:close/>
              <a:moveTo>
                <a:pt x="143" y="0"/>
              </a:moveTo>
              <a:lnTo>
                <a:pt x="146" y="0"/>
              </a:lnTo>
              <a:lnTo>
                <a:pt x="146" y="1"/>
              </a:lnTo>
              <a:lnTo>
                <a:pt x="143" y="1"/>
              </a:lnTo>
              <a:lnTo>
                <a:pt x="143" y="0"/>
              </a:lnTo>
              <a:close/>
              <a:moveTo>
                <a:pt x="147" y="0"/>
              </a:moveTo>
              <a:lnTo>
                <a:pt x="150" y="0"/>
              </a:lnTo>
              <a:lnTo>
                <a:pt x="150" y="1"/>
              </a:lnTo>
              <a:lnTo>
                <a:pt x="147" y="1"/>
              </a:lnTo>
              <a:lnTo>
                <a:pt x="147" y="0"/>
              </a:lnTo>
              <a:close/>
              <a:moveTo>
                <a:pt x="151" y="0"/>
              </a:moveTo>
              <a:lnTo>
                <a:pt x="154" y="0"/>
              </a:lnTo>
              <a:lnTo>
                <a:pt x="154" y="1"/>
              </a:lnTo>
              <a:lnTo>
                <a:pt x="151" y="1"/>
              </a:lnTo>
              <a:lnTo>
                <a:pt x="151" y="0"/>
              </a:lnTo>
              <a:close/>
              <a:moveTo>
                <a:pt x="155" y="0"/>
              </a:moveTo>
              <a:lnTo>
                <a:pt x="158" y="0"/>
              </a:lnTo>
              <a:lnTo>
                <a:pt x="158" y="1"/>
              </a:lnTo>
              <a:lnTo>
                <a:pt x="155" y="1"/>
              </a:lnTo>
              <a:lnTo>
                <a:pt x="155" y="0"/>
              </a:lnTo>
              <a:close/>
              <a:moveTo>
                <a:pt x="159" y="0"/>
              </a:moveTo>
              <a:lnTo>
                <a:pt x="162" y="0"/>
              </a:lnTo>
              <a:lnTo>
                <a:pt x="162" y="1"/>
              </a:lnTo>
              <a:lnTo>
                <a:pt x="159" y="1"/>
              </a:lnTo>
              <a:lnTo>
                <a:pt x="159" y="0"/>
              </a:lnTo>
              <a:close/>
              <a:moveTo>
                <a:pt x="163" y="0"/>
              </a:moveTo>
              <a:lnTo>
                <a:pt x="166" y="0"/>
              </a:lnTo>
              <a:lnTo>
                <a:pt x="166" y="1"/>
              </a:lnTo>
              <a:lnTo>
                <a:pt x="163" y="1"/>
              </a:lnTo>
              <a:lnTo>
                <a:pt x="163" y="0"/>
              </a:lnTo>
              <a:close/>
              <a:moveTo>
                <a:pt x="167" y="0"/>
              </a:moveTo>
              <a:lnTo>
                <a:pt x="170" y="0"/>
              </a:lnTo>
              <a:lnTo>
                <a:pt x="170" y="1"/>
              </a:lnTo>
              <a:lnTo>
                <a:pt x="167" y="1"/>
              </a:lnTo>
              <a:lnTo>
                <a:pt x="167" y="0"/>
              </a:lnTo>
              <a:close/>
              <a:moveTo>
                <a:pt x="171" y="0"/>
              </a:moveTo>
              <a:lnTo>
                <a:pt x="174" y="0"/>
              </a:lnTo>
              <a:lnTo>
                <a:pt x="174" y="1"/>
              </a:lnTo>
              <a:lnTo>
                <a:pt x="171" y="1"/>
              </a:lnTo>
              <a:lnTo>
                <a:pt x="171" y="0"/>
              </a:lnTo>
              <a:close/>
              <a:moveTo>
                <a:pt x="175" y="0"/>
              </a:moveTo>
              <a:lnTo>
                <a:pt x="178" y="0"/>
              </a:lnTo>
              <a:lnTo>
                <a:pt x="178" y="1"/>
              </a:lnTo>
              <a:lnTo>
                <a:pt x="175" y="1"/>
              </a:lnTo>
              <a:lnTo>
                <a:pt x="175" y="0"/>
              </a:lnTo>
              <a:close/>
              <a:moveTo>
                <a:pt x="179" y="0"/>
              </a:moveTo>
              <a:lnTo>
                <a:pt x="182" y="0"/>
              </a:lnTo>
              <a:lnTo>
                <a:pt x="182" y="1"/>
              </a:lnTo>
              <a:lnTo>
                <a:pt x="179" y="1"/>
              </a:lnTo>
              <a:lnTo>
                <a:pt x="179" y="0"/>
              </a:lnTo>
              <a:close/>
              <a:moveTo>
                <a:pt x="183" y="0"/>
              </a:moveTo>
              <a:lnTo>
                <a:pt x="186" y="0"/>
              </a:lnTo>
              <a:lnTo>
                <a:pt x="186" y="1"/>
              </a:lnTo>
              <a:lnTo>
                <a:pt x="183" y="1"/>
              </a:lnTo>
              <a:lnTo>
                <a:pt x="183" y="0"/>
              </a:lnTo>
              <a:close/>
              <a:moveTo>
                <a:pt x="187" y="0"/>
              </a:moveTo>
              <a:lnTo>
                <a:pt x="190" y="0"/>
              </a:lnTo>
              <a:lnTo>
                <a:pt x="190" y="1"/>
              </a:lnTo>
              <a:lnTo>
                <a:pt x="187" y="1"/>
              </a:lnTo>
              <a:lnTo>
                <a:pt x="187" y="0"/>
              </a:lnTo>
              <a:close/>
              <a:moveTo>
                <a:pt x="191" y="0"/>
              </a:moveTo>
              <a:lnTo>
                <a:pt x="194" y="0"/>
              </a:lnTo>
              <a:lnTo>
                <a:pt x="194" y="1"/>
              </a:lnTo>
              <a:lnTo>
                <a:pt x="191" y="1"/>
              </a:lnTo>
              <a:lnTo>
                <a:pt x="191" y="0"/>
              </a:lnTo>
              <a:close/>
              <a:moveTo>
                <a:pt x="195" y="0"/>
              </a:moveTo>
              <a:lnTo>
                <a:pt x="198" y="0"/>
              </a:lnTo>
              <a:lnTo>
                <a:pt x="198" y="1"/>
              </a:lnTo>
              <a:lnTo>
                <a:pt x="195" y="1"/>
              </a:lnTo>
              <a:lnTo>
                <a:pt x="195" y="0"/>
              </a:lnTo>
              <a:close/>
              <a:moveTo>
                <a:pt x="199" y="0"/>
              </a:moveTo>
              <a:lnTo>
                <a:pt x="202" y="0"/>
              </a:lnTo>
              <a:lnTo>
                <a:pt x="202" y="1"/>
              </a:lnTo>
              <a:lnTo>
                <a:pt x="199" y="1"/>
              </a:lnTo>
              <a:lnTo>
                <a:pt x="199" y="0"/>
              </a:lnTo>
              <a:close/>
              <a:moveTo>
                <a:pt x="203" y="0"/>
              </a:moveTo>
              <a:lnTo>
                <a:pt x="206" y="0"/>
              </a:lnTo>
              <a:lnTo>
                <a:pt x="206" y="1"/>
              </a:lnTo>
              <a:lnTo>
                <a:pt x="203" y="1"/>
              </a:lnTo>
              <a:lnTo>
                <a:pt x="203" y="0"/>
              </a:lnTo>
              <a:close/>
              <a:moveTo>
                <a:pt x="207" y="0"/>
              </a:moveTo>
              <a:lnTo>
                <a:pt x="210" y="0"/>
              </a:lnTo>
              <a:lnTo>
                <a:pt x="210" y="1"/>
              </a:lnTo>
              <a:lnTo>
                <a:pt x="207" y="1"/>
              </a:lnTo>
              <a:lnTo>
                <a:pt x="207" y="0"/>
              </a:lnTo>
              <a:close/>
              <a:moveTo>
                <a:pt x="211" y="0"/>
              </a:moveTo>
              <a:lnTo>
                <a:pt x="214" y="0"/>
              </a:lnTo>
              <a:lnTo>
                <a:pt x="214" y="1"/>
              </a:lnTo>
              <a:lnTo>
                <a:pt x="211" y="1"/>
              </a:lnTo>
              <a:lnTo>
                <a:pt x="211" y="0"/>
              </a:lnTo>
              <a:close/>
              <a:moveTo>
                <a:pt x="215" y="0"/>
              </a:moveTo>
              <a:lnTo>
                <a:pt x="218" y="0"/>
              </a:lnTo>
              <a:lnTo>
                <a:pt x="218" y="1"/>
              </a:lnTo>
              <a:lnTo>
                <a:pt x="215" y="1"/>
              </a:lnTo>
              <a:lnTo>
                <a:pt x="215" y="0"/>
              </a:lnTo>
              <a:close/>
              <a:moveTo>
                <a:pt x="219" y="0"/>
              </a:moveTo>
              <a:lnTo>
                <a:pt x="222" y="0"/>
              </a:lnTo>
              <a:lnTo>
                <a:pt x="222" y="1"/>
              </a:lnTo>
              <a:lnTo>
                <a:pt x="219" y="1"/>
              </a:lnTo>
              <a:lnTo>
                <a:pt x="219" y="0"/>
              </a:lnTo>
              <a:close/>
              <a:moveTo>
                <a:pt x="223" y="0"/>
              </a:moveTo>
              <a:lnTo>
                <a:pt x="226" y="0"/>
              </a:lnTo>
              <a:lnTo>
                <a:pt x="226" y="1"/>
              </a:lnTo>
              <a:lnTo>
                <a:pt x="223" y="1"/>
              </a:lnTo>
              <a:lnTo>
                <a:pt x="223" y="0"/>
              </a:lnTo>
              <a:close/>
              <a:moveTo>
                <a:pt x="227" y="0"/>
              </a:moveTo>
              <a:lnTo>
                <a:pt x="230" y="0"/>
              </a:lnTo>
              <a:lnTo>
                <a:pt x="230" y="1"/>
              </a:lnTo>
              <a:lnTo>
                <a:pt x="227" y="1"/>
              </a:lnTo>
              <a:lnTo>
                <a:pt x="227" y="0"/>
              </a:lnTo>
              <a:close/>
              <a:moveTo>
                <a:pt x="231" y="0"/>
              </a:moveTo>
              <a:lnTo>
                <a:pt x="234" y="0"/>
              </a:lnTo>
              <a:lnTo>
                <a:pt x="234" y="1"/>
              </a:lnTo>
              <a:lnTo>
                <a:pt x="231" y="1"/>
              </a:lnTo>
              <a:lnTo>
                <a:pt x="231" y="0"/>
              </a:lnTo>
              <a:close/>
              <a:moveTo>
                <a:pt x="235" y="0"/>
              </a:moveTo>
              <a:lnTo>
                <a:pt x="238" y="0"/>
              </a:lnTo>
              <a:lnTo>
                <a:pt x="238" y="1"/>
              </a:lnTo>
              <a:lnTo>
                <a:pt x="235" y="1"/>
              </a:lnTo>
              <a:lnTo>
                <a:pt x="235" y="0"/>
              </a:lnTo>
              <a:close/>
              <a:moveTo>
                <a:pt x="239" y="0"/>
              </a:moveTo>
              <a:lnTo>
                <a:pt x="242" y="0"/>
              </a:lnTo>
              <a:lnTo>
                <a:pt x="242" y="1"/>
              </a:lnTo>
              <a:lnTo>
                <a:pt x="239" y="1"/>
              </a:lnTo>
              <a:lnTo>
                <a:pt x="239" y="0"/>
              </a:lnTo>
              <a:close/>
              <a:moveTo>
                <a:pt x="243" y="0"/>
              </a:moveTo>
              <a:lnTo>
                <a:pt x="246" y="0"/>
              </a:lnTo>
              <a:lnTo>
                <a:pt x="246" y="1"/>
              </a:lnTo>
              <a:lnTo>
                <a:pt x="243" y="1"/>
              </a:lnTo>
              <a:lnTo>
                <a:pt x="243" y="0"/>
              </a:lnTo>
              <a:close/>
              <a:moveTo>
                <a:pt x="247" y="0"/>
              </a:moveTo>
              <a:lnTo>
                <a:pt x="250" y="0"/>
              </a:lnTo>
              <a:lnTo>
                <a:pt x="250" y="1"/>
              </a:lnTo>
              <a:lnTo>
                <a:pt x="247" y="1"/>
              </a:lnTo>
              <a:lnTo>
                <a:pt x="247" y="0"/>
              </a:lnTo>
              <a:close/>
              <a:moveTo>
                <a:pt x="251" y="0"/>
              </a:moveTo>
              <a:lnTo>
                <a:pt x="254" y="0"/>
              </a:lnTo>
              <a:lnTo>
                <a:pt x="254" y="1"/>
              </a:lnTo>
              <a:lnTo>
                <a:pt x="251" y="1"/>
              </a:lnTo>
              <a:lnTo>
                <a:pt x="251" y="0"/>
              </a:lnTo>
              <a:close/>
              <a:moveTo>
                <a:pt x="255" y="0"/>
              </a:moveTo>
              <a:lnTo>
                <a:pt x="259" y="0"/>
              </a:lnTo>
              <a:lnTo>
                <a:pt x="259" y="1"/>
              </a:lnTo>
              <a:lnTo>
                <a:pt x="255" y="1"/>
              </a:lnTo>
              <a:lnTo>
                <a:pt x="255" y="0"/>
              </a:lnTo>
              <a:close/>
              <a:moveTo>
                <a:pt x="260" y="0"/>
              </a:moveTo>
              <a:lnTo>
                <a:pt x="263" y="0"/>
              </a:lnTo>
              <a:lnTo>
                <a:pt x="263" y="1"/>
              </a:lnTo>
              <a:lnTo>
                <a:pt x="260" y="1"/>
              </a:lnTo>
              <a:lnTo>
                <a:pt x="260" y="0"/>
              </a:lnTo>
              <a:close/>
              <a:moveTo>
                <a:pt x="264" y="0"/>
              </a:moveTo>
              <a:lnTo>
                <a:pt x="267" y="0"/>
              </a:lnTo>
              <a:lnTo>
                <a:pt x="267" y="1"/>
              </a:lnTo>
              <a:lnTo>
                <a:pt x="264" y="1"/>
              </a:lnTo>
              <a:lnTo>
                <a:pt x="264" y="0"/>
              </a:lnTo>
              <a:close/>
              <a:moveTo>
                <a:pt x="268" y="0"/>
              </a:moveTo>
              <a:lnTo>
                <a:pt x="271" y="0"/>
              </a:lnTo>
              <a:lnTo>
                <a:pt x="271" y="1"/>
              </a:lnTo>
              <a:lnTo>
                <a:pt x="268" y="1"/>
              </a:lnTo>
              <a:lnTo>
                <a:pt x="268" y="0"/>
              </a:lnTo>
              <a:close/>
              <a:moveTo>
                <a:pt x="272" y="0"/>
              </a:moveTo>
              <a:lnTo>
                <a:pt x="275" y="0"/>
              </a:lnTo>
              <a:lnTo>
                <a:pt x="275" y="1"/>
              </a:lnTo>
              <a:lnTo>
                <a:pt x="272" y="1"/>
              </a:lnTo>
              <a:lnTo>
                <a:pt x="272" y="0"/>
              </a:lnTo>
              <a:close/>
              <a:moveTo>
                <a:pt x="276" y="0"/>
              </a:moveTo>
              <a:lnTo>
                <a:pt x="279" y="0"/>
              </a:lnTo>
              <a:lnTo>
                <a:pt x="279" y="1"/>
              </a:lnTo>
              <a:lnTo>
                <a:pt x="276" y="1"/>
              </a:lnTo>
              <a:lnTo>
                <a:pt x="276" y="0"/>
              </a:lnTo>
              <a:close/>
              <a:moveTo>
                <a:pt x="280" y="0"/>
              </a:moveTo>
              <a:lnTo>
                <a:pt x="283" y="0"/>
              </a:lnTo>
              <a:lnTo>
                <a:pt x="283" y="1"/>
              </a:lnTo>
              <a:lnTo>
                <a:pt x="280" y="1"/>
              </a:lnTo>
              <a:lnTo>
                <a:pt x="280" y="0"/>
              </a:lnTo>
              <a:close/>
              <a:moveTo>
                <a:pt x="284" y="0"/>
              </a:moveTo>
              <a:lnTo>
                <a:pt x="287" y="0"/>
              </a:lnTo>
              <a:lnTo>
                <a:pt x="287" y="1"/>
              </a:lnTo>
              <a:lnTo>
                <a:pt x="284" y="1"/>
              </a:lnTo>
              <a:lnTo>
                <a:pt x="284" y="0"/>
              </a:lnTo>
              <a:close/>
              <a:moveTo>
                <a:pt x="288" y="0"/>
              </a:moveTo>
              <a:lnTo>
                <a:pt x="291" y="0"/>
              </a:lnTo>
              <a:lnTo>
                <a:pt x="291" y="1"/>
              </a:lnTo>
              <a:lnTo>
                <a:pt x="288" y="1"/>
              </a:lnTo>
              <a:lnTo>
                <a:pt x="288" y="0"/>
              </a:lnTo>
              <a:close/>
              <a:moveTo>
                <a:pt x="292" y="0"/>
              </a:moveTo>
              <a:lnTo>
                <a:pt x="295" y="0"/>
              </a:lnTo>
              <a:lnTo>
                <a:pt x="295" y="1"/>
              </a:lnTo>
              <a:lnTo>
                <a:pt x="292" y="1"/>
              </a:lnTo>
              <a:lnTo>
                <a:pt x="292" y="0"/>
              </a:lnTo>
              <a:close/>
              <a:moveTo>
                <a:pt x="296" y="0"/>
              </a:moveTo>
              <a:lnTo>
                <a:pt x="299" y="0"/>
              </a:lnTo>
              <a:lnTo>
                <a:pt x="299" y="1"/>
              </a:lnTo>
              <a:lnTo>
                <a:pt x="296" y="1"/>
              </a:lnTo>
              <a:lnTo>
                <a:pt x="296" y="0"/>
              </a:lnTo>
              <a:close/>
              <a:moveTo>
                <a:pt x="300" y="0"/>
              </a:moveTo>
              <a:lnTo>
                <a:pt x="303" y="0"/>
              </a:lnTo>
              <a:lnTo>
                <a:pt x="303" y="1"/>
              </a:lnTo>
              <a:lnTo>
                <a:pt x="300" y="1"/>
              </a:lnTo>
              <a:lnTo>
                <a:pt x="300" y="0"/>
              </a:lnTo>
              <a:close/>
              <a:moveTo>
                <a:pt x="304" y="0"/>
              </a:moveTo>
              <a:lnTo>
                <a:pt x="307" y="0"/>
              </a:lnTo>
              <a:lnTo>
                <a:pt x="307" y="1"/>
              </a:lnTo>
              <a:lnTo>
                <a:pt x="304" y="1"/>
              </a:lnTo>
              <a:lnTo>
                <a:pt x="304" y="0"/>
              </a:lnTo>
              <a:close/>
              <a:moveTo>
                <a:pt x="308" y="0"/>
              </a:moveTo>
              <a:lnTo>
                <a:pt x="311" y="0"/>
              </a:lnTo>
              <a:lnTo>
                <a:pt x="311" y="1"/>
              </a:lnTo>
              <a:lnTo>
                <a:pt x="308" y="1"/>
              </a:lnTo>
              <a:lnTo>
                <a:pt x="308" y="0"/>
              </a:lnTo>
              <a:close/>
              <a:moveTo>
                <a:pt x="312" y="0"/>
              </a:moveTo>
              <a:lnTo>
                <a:pt x="315" y="0"/>
              </a:lnTo>
              <a:lnTo>
                <a:pt x="315" y="1"/>
              </a:lnTo>
              <a:lnTo>
                <a:pt x="312" y="1"/>
              </a:lnTo>
              <a:lnTo>
                <a:pt x="312" y="0"/>
              </a:lnTo>
              <a:close/>
              <a:moveTo>
                <a:pt x="316" y="0"/>
              </a:moveTo>
              <a:lnTo>
                <a:pt x="319" y="0"/>
              </a:lnTo>
              <a:lnTo>
                <a:pt x="319" y="1"/>
              </a:lnTo>
              <a:lnTo>
                <a:pt x="316" y="1"/>
              </a:lnTo>
              <a:lnTo>
                <a:pt x="316" y="0"/>
              </a:lnTo>
              <a:close/>
              <a:moveTo>
                <a:pt x="320" y="0"/>
              </a:moveTo>
              <a:lnTo>
                <a:pt x="323" y="0"/>
              </a:lnTo>
              <a:lnTo>
                <a:pt x="323" y="1"/>
              </a:lnTo>
              <a:lnTo>
                <a:pt x="320" y="1"/>
              </a:lnTo>
              <a:lnTo>
                <a:pt x="320" y="0"/>
              </a:lnTo>
              <a:close/>
              <a:moveTo>
                <a:pt x="324" y="0"/>
              </a:moveTo>
              <a:lnTo>
                <a:pt x="327" y="0"/>
              </a:lnTo>
              <a:lnTo>
                <a:pt x="327" y="1"/>
              </a:lnTo>
              <a:lnTo>
                <a:pt x="324" y="1"/>
              </a:lnTo>
              <a:lnTo>
                <a:pt x="324" y="0"/>
              </a:lnTo>
              <a:close/>
              <a:moveTo>
                <a:pt x="328" y="0"/>
              </a:moveTo>
              <a:lnTo>
                <a:pt x="331" y="0"/>
              </a:lnTo>
              <a:lnTo>
                <a:pt x="331" y="1"/>
              </a:lnTo>
              <a:lnTo>
                <a:pt x="328" y="1"/>
              </a:lnTo>
              <a:lnTo>
                <a:pt x="328" y="0"/>
              </a:lnTo>
              <a:close/>
              <a:moveTo>
                <a:pt x="332" y="0"/>
              </a:moveTo>
              <a:lnTo>
                <a:pt x="335" y="0"/>
              </a:lnTo>
              <a:lnTo>
                <a:pt x="335" y="1"/>
              </a:lnTo>
              <a:lnTo>
                <a:pt x="332" y="1"/>
              </a:lnTo>
              <a:lnTo>
                <a:pt x="332" y="0"/>
              </a:lnTo>
              <a:close/>
              <a:moveTo>
                <a:pt x="336" y="0"/>
              </a:moveTo>
              <a:lnTo>
                <a:pt x="339" y="0"/>
              </a:lnTo>
              <a:lnTo>
                <a:pt x="339" y="1"/>
              </a:lnTo>
              <a:lnTo>
                <a:pt x="336" y="1"/>
              </a:lnTo>
              <a:lnTo>
                <a:pt x="336" y="0"/>
              </a:lnTo>
              <a:close/>
              <a:moveTo>
                <a:pt x="340" y="0"/>
              </a:moveTo>
              <a:lnTo>
                <a:pt x="343" y="0"/>
              </a:lnTo>
              <a:lnTo>
                <a:pt x="343" y="1"/>
              </a:lnTo>
              <a:lnTo>
                <a:pt x="340" y="1"/>
              </a:lnTo>
              <a:lnTo>
                <a:pt x="340" y="0"/>
              </a:lnTo>
              <a:close/>
              <a:moveTo>
                <a:pt x="344" y="0"/>
              </a:moveTo>
              <a:lnTo>
                <a:pt x="347" y="0"/>
              </a:lnTo>
              <a:lnTo>
                <a:pt x="347" y="1"/>
              </a:lnTo>
              <a:lnTo>
                <a:pt x="344" y="1"/>
              </a:lnTo>
              <a:lnTo>
                <a:pt x="344" y="0"/>
              </a:lnTo>
              <a:close/>
              <a:moveTo>
                <a:pt x="348" y="0"/>
              </a:moveTo>
              <a:lnTo>
                <a:pt x="351" y="0"/>
              </a:lnTo>
              <a:lnTo>
                <a:pt x="351" y="1"/>
              </a:lnTo>
              <a:lnTo>
                <a:pt x="348" y="1"/>
              </a:lnTo>
              <a:lnTo>
                <a:pt x="348" y="0"/>
              </a:lnTo>
              <a:close/>
              <a:moveTo>
                <a:pt x="352" y="1"/>
              </a:moveTo>
              <a:lnTo>
                <a:pt x="355" y="1"/>
              </a:lnTo>
              <a:lnTo>
                <a:pt x="355" y="2"/>
              </a:lnTo>
              <a:lnTo>
                <a:pt x="352" y="2"/>
              </a:lnTo>
              <a:lnTo>
                <a:pt x="352" y="1"/>
              </a:lnTo>
              <a:close/>
              <a:moveTo>
                <a:pt x="356" y="1"/>
              </a:moveTo>
              <a:lnTo>
                <a:pt x="356" y="1"/>
              </a:lnTo>
              <a:lnTo>
                <a:pt x="359" y="1"/>
              </a:lnTo>
              <a:lnTo>
                <a:pt x="359" y="2"/>
              </a:lnTo>
              <a:lnTo>
                <a:pt x="356" y="2"/>
              </a:lnTo>
              <a:lnTo>
                <a:pt x="356" y="2"/>
              </a:lnTo>
              <a:lnTo>
                <a:pt x="356" y="2"/>
              </a:lnTo>
              <a:lnTo>
                <a:pt x="356" y="1"/>
              </a:lnTo>
              <a:close/>
              <a:moveTo>
                <a:pt x="360" y="1"/>
              </a:moveTo>
              <a:lnTo>
                <a:pt x="361" y="2"/>
              </a:lnTo>
              <a:lnTo>
                <a:pt x="363" y="2"/>
              </a:lnTo>
              <a:lnTo>
                <a:pt x="362" y="3"/>
              </a:lnTo>
              <a:lnTo>
                <a:pt x="361" y="2"/>
              </a:lnTo>
              <a:lnTo>
                <a:pt x="361" y="2"/>
              </a:lnTo>
              <a:lnTo>
                <a:pt x="360" y="2"/>
              </a:lnTo>
              <a:lnTo>
                <a:pt x="360" y="1"/>
              </a:lnTo>
              <a:close/>
              <a:moveTo>
                <a:pt x="364" y="2"/>
              </a:moveTo>
              <a:lnTo>
                <a:pt x="366" y="3"/>
              </a:lnTo>
              <a:lnTo>
                <a:pt x="367" y="3"/>
              </a:lnTo>
              <a:lnTo>
                <a:pt x="366" y="4"/>
              </a:lnTo>
              <a:lnTo>
                <a:pt x="366" y="4"/>
              </a:lnTo>
              <a:lnTo>
                <a:pt x="366" y="4"/>
              </a:lnTo>
              <a:lnTo>
                <a:pt x="363" y="3"/>
              </a:lnTo>
              <a:lnTo>
                <a:pt x="364" y="2"/>
              </a:lnTo>
              <a:close/>
              <a:moveTo>
                <a:pt x="368" y="3"/>
              </a:moveTo>
              <a:lnTo>
                <a:pt x="370" y="4"/>
              </a:lnTo>
              <a:lnTo>
                <a:pt x="370" y="5"/>
              </a:lnTo>
              <a:lnTo>
                <a:pt x="367" y="4"/>
              </a:lnTo>
              <a:lnTo>
                <a:pt x="368" y="3"/>
              </a:lnTo>
              <a:close/>
              <a:moveTo>
                <a:pt x="371" y="5"/>
              </a:moveTo>
              <a:lnTo>
                <a:pt x="374" y="6"/>
              </a:lnTo>
              <a:lnTo>
                <a:pt x="374" y="7"/>
              </a:lnTo>
              <a:lnTo>
                <a:pt x="371" y="6"/>
              </a:lnTo>
              <a:lnTo>
                <a:pt x="371" y="5"/>
              </a:lnTo>
              <a:close/>
              <a:moveTo>
                <a:pt x="375" y="7"/>
              </a:moveTo>
              <a:lnTo>
                <a:pt x="375" y="7"/>
              </a:lnTo>
              <a:lnTo>
                <a:pt x="378" y="8"/>
              </a:lnTo>
              <a:lnTo>
                <a:pt x="377" y="9"/>
              </a:lnTo>
              <a:lnTo>
                <a:pt x="375" y="7"/>
              </a:lnTo>
              <a:lnTo>
                <a:pt x="375" y="7"/>
              </a:lnTo>
              <a:lnTo>
                <a:pt x="375" y="7"/>
              </a:lnTo>
              <a:lnTo>
                <a:pt x="375" y="7"/>
              </a:lnTo>
              <a:close/>
              <a:moveTo>
                <a:pt x="378" y="9"/>
              </a:moveTo>
              <a:lnTo>
                <a:pt x="379" y="9"/>
              </a:lnTo>
              <a:lnTo>
                <a:pt x="381" y="10"/>
              </a:lnTo>
              <a:lnTo>
                <a:pt x="380" y="11"/>
              </a:lnTo>
              <a:lnTo>
                <a:pt x="379" y="10"/>
              </a:lnTo>
              <a:lnTo>
                <a:pt x="379" y="10"/>
              </a:lnTo>
              <a:lnTo>
                <a:pt x="378" y="9"/>
              </a:lnTo>
              <a:lnTo>
                <a:pt x="378" y="9"/>
              </a:lnTo>
              <a:close/>
              <a:moveTo>
                <a:pt x="382" y="11"/>
              </a:moveTo>
              <a:lnTo>
                <a:pt x="383" y="12"/>
              </a:lnTo>
              <a:lnTo>
                <a:pt x="384" y="13"/>
              </a:lnTo>
              <a:lnTo>
                <a:pt x="383" y="14"/>
              </a:lnTo>
              <a:lnTo>
                <a:pt x="382" y="13"/>
              </a:lnTo>
              <a:lnTo>
                <a:pt x="383" y="13"/>
              </a:lnTo>
              <a:lnTo>
                <a:pt x="381" y="12"/>
              </a:lnTo>
              <a:lnTo>
                <a:pt x="382" y="11"/>
              </a:lnTo>
              <a:close/>
              <a:moveTo>
                <a:pt x="385" y="13"/>
              </a:moveTo>
              <a:lnTo>
                <a:pt x="387" y="15"/>
              </a:lnTo>
              <a:lnTo>
                <a:pt x="387" y="16"/>
              </a:lnTo>
              <a:lnTo>
                <a:pt x="386" y="16"/>
              </a:lnTo>
              <a:lnTo>
                <a:pt x="386" y="16"/>
              </a:lnTo>
              <a:lnTo>
                <a:pt x="386" y="16"/>
              </a:lnTo>
              <a:lnTo>
                <a:pt x="384" y="14"/>
              </a:lnTo>
              <a:lnTo>
                <a:pt x="385" y="13"/>
              </a:lnTo>
              <a:close/>
              <a:moveTo>
                <a:pt x="388" y="16"/>
              </a:moveTo>
              <a:lnTo>
                <a:pt x="390" y="19"/>
              </a:lnTo>
              <a:lnTo>
                <a:pt x="389" y="19"/>
              </a:lnTo>
              <a:lnTo>
                <a:pt x="387" y="17"/>
              </a:lnTo>
              <a:lnTo>
                <a:pt x="388" y="16"/>
              </a:lnTo>
              <a:close/>
              <a:moveTo>
                <a:pt x="390" y="19"/>
              </a:moveTo>
              <a:lnTo>
                <a:pt x="392" y="22"/>
              </a:lnTo>
              <a:lnTo>
                <a:pt x="391" y="22"/>
              </a:lnTo>
              <a:lnTo>
                <a:pt x="389" y="20"/>
              </a:lnTo>
              <a:lnTo>
                <a:pt x="390" y="19"/>
              </a:lnTo>
              <a:close/>
              <a:moveTo>
                <a:pt x="393" y="22"/>
              </a:moveTo>
              <a:lnTo>
                <a:pt x="393" y="23"/>
              </a:lnTo>
              <a:lnTo>
                <a:pt x="394" y="25"/>
              </a:lnTo>
              <a:lnTo>
                <a:pt x="394" y="26"/>
              </a:lnTo>
              <a:lnTo>
                <a:pt x="392" y="23"/>
              </a:lnTo>
              <a:lnTo>
                <a:pt x="392" y="23"/>
              </a:lnTo>
              <a:lnTo>
                <a:pt x="392" y="23"/>
              </a:lnTo>
              <a:lnTo>
                <a:pt x="393" y="22"/>
              </a:lnTo>
              <a:close/>
              <a:moveTo>
                <a:pt x="395" y="26"/>
              </a:moveTo>
              <a:lnTo>
                <a:pt x="395" y="27"/>
              </a:lnTo>
              <a:lnTo>
                <a:pt x="396" y="29"/>
              </a:lnTo>
              <a:lnTo>
                <a:pt x="395" y="29"/>
              </a:lnTo>
              <a:lnTo>
                <a:pt x="395" y="27"/>
              </a:lnTo>
              <a:lnTo>
                <a:pt x="395" y="27"/>
              </a:lnTo>
              <a:lnTo>
                <a:pt x="394" y="26"/>
              </a:lnTo>
              <a:lnTo>
                <a:pt x="395" y="26"/>
              </a:lnTo>
              <a:close/>
              <a:moveTo>
                <a:pt x="397" y="29"/>
              </a:moveTo>
              <a:lnTo>
                <a:pt x="398" y="31"/>
              </a:lnTo>
              <a:lnTo>
                <a:pt x="398" y="32"/>
              </a:lnTo>
              <a:lnTo>
                <a:pt x="397" y="33"/>
              </a:lnTo>
              <a:lnTo>
                <a:pt x="397" y="32"/>
              </a:lnTo>
              <a:lnTo>
                <a:pt x="397" y="32"/>
              </a:lnTo>
              <a:lnTo>
                <a:pt x="396" y="30"/>
              </a:lnTo>
              <a:lnTo>
                <a:pt x="397" y="29"/>
              </a:lnTo>
              <a:close/>
              <a:moveTo>
                <a:pt x="398" y="33"/>
              </a:moveTo>
              <a:lnTo>
                <a:pt x="399" y="36"/>
              </a:lnTo>
              <a:lnTo>
                <a:pt x="399" y="36"/>
              </a:lnTo>
              <a:lnTo>
                <a:pt x="398" y="36"/>
              </a:lnTo>
              <a:lnTo>
                <a:pt x="398" y="36"/>
              </a:lnTo>
              <a:lnTo>
                <a:pt x="398" y="36"/>
              </a:lnTo>
              <a:lnTo>
                <a:pt x="397" y="34"/>
              </a:lnTo>
              <a:lnTo>
                <a:pt x="398" y="33"/>
              </a:lnTo>
              <a:close/>
              <a:moveTo>
                <a:pt x="400" y="37"/>
              </a:moveTo>
              <a:lnTo>
                <a:pt x="400" y="40"/>
              </a:lnTo>
              <a:lnTo>
                <a:pt x="399" y="40"/>
              </a:lnTo>
              <a:lnTo>
                <a:pt x="399" y="37"/>
              </a:lnTo>
              <a:lnTo>
                <a:pt x="400" y="37"/>
              </a:lnTo>
              <a:close/>
              <a:moveTo>
                <a:pt x="401" y="41"/>
              </a:moveTo>
              <a:lnTo>
                <a:pt x="401" y="44"/>
              </a:lnTo>
              <a:lnTo>
                <a:pt x="400" y="44"/>
              </a:lnTo>
              <a:lnTo>
                <a:pt x="400" y="41"/>
              </a:lnTo>
              <a:lnTo>
                <a:pt x="401" y="41"/>
              </a:lnTo>
              <a:close/>
              <a:moveTo>
                <a:pt x="401" y="45"/>
              </a:moveTo>
              <a:lnTo>
                <a:pt x="401" y="46"/>
              </a:lnTo>
              <a:lnTo>
                <a:pt x="401" y="48"/>
              </a:lnTo>
              <a:lnTo>
                <a:pt x="400" y="48"/>
              </a:lnTo>
              <a:lnTo>
                <a:pt x="400" y="46"/>
              </a:lnTo>
              <a:lnTo>
                <a:pt x="400" y="46"/>
              </a:lnTo>
              <a:lnTo>
                <a:pt x="400" y="45"/>
              </a:lnTo>
              <a:lnTo>
                <a:pt x="401" y="45"/>
              </a:lnTo>
              <a:close/>
              <a:moveTo>
                <a:pt x="401" y="49"/>
              </a:moveTo>
              <a:lnTo>
                <a:pt x="402" y="51"/>
              </a:lnTo>
              <a:lnTo>
                <a:pt x="402" y="52"/>
              </a:lnTo>
              <a:lnTo>
                <a:pt x="401" y="52"/>
              </a:lnTo>
              <a:lnTo>
                <a:pt x="401" y="51"/>
              </a:lnTo>
              <a:lnTo>
                <a:pt x="401" y="51"/>
              </a:lnTo>
              <a:lnTo>
                <a:pt x="400" y="49"/>
              </a:lnTo>
              <a:lnTo>
                <a:pt x="401" y="49"/>
              </a:lnTo>
              <a:close/>
              <a:moveTo>
                <a:pt x="402" y="53"/>
              </a:moveTo>
              <a:lnTo>
                <a:pt x="402" y="56"/>
              </a:lnTo>
              <a:lnTo>
                <a:pt x="401" y="56"/>
              </a:lnTo>
              <a:lnTo>
                <a:pt x="401" y="53"/>
              </a:lnTo>
              <a:lnTo>
                <a:pt x="402" y="53"/>
              </a:lnTo>
              <a:close/>
              <a:moveTo>
                <a:pt x="402" y="57"/>
              </a:moveTo>
              <a:lnTo>
                <a:pt x="402" y="60"/>
              </a:lnTo>
              <a:lnTo>
                <a:pt x="401" y="60"/>
              </a:lnTo>
              <a:lnTo>
                <a:pt x="401" y="57"/>
              </a:lnTo>
              <a:lnTo>
                <a:pt x="402" y="57"/>
              </a:lnTo>
              <a:close/>
              <a:moveTo>
                <a:pt x="402" y="61"/>
              </a:moveTo>
              <a:lnTo>
                <a:pt x="402" y="64"/>
              </a:lnTo>
              <a:lnTo>
                <a:pt x="401" y="64"/>
              </a:lnTo>
              <a:lnTo>
                <a:pt x="401" y="61"/>
              </a:lnTo>
              <a:lnTo>
                <a:pt x="402" y="61"/>
              </a:lnTo>
              <a:close/>
              <a:moveTo>
                <a:pt x="402" y="65"/>
              </a:moveTo>
              <a:lnTo>
                <a:pt x="402" y="68"/>
              </a:lnTo>
              <a:lnTo>
                <a:pt x="401" y="68"/>
              </a:lnTo>
              <a:lnTo>
                <a:pt x="401" y="65"/>
              </a:lnTo>
              <a:lnTo>
                <a:pt x="402" y="65"/>
              </a:lnTo>
              <a:close/>
              <a:moveTo>
                <a:pt x="402" y="69"/>
              </a:moveTo>
              <a:lnTo>
                <a:pt x="402" y="72"/>
              </a:lnTo>
              <a:lnTo>
                <a:pt x="401" y="72"/>
              </a:lnTo>
              <a:lnTo>
                <a:pt x="401" y="69"/>
              </a:lnTo>
              <a:lnTo>
                <a:pt x="402" y="69"/>
              </a:lnTo>
              <a:close/>
              <a:moveTo>
                <a:pt x="402" y="73"/>
              </a:moveTo>
              <a:lnTo>
                <a:pt x="402" y="76"/>
              </a:lnTo>
              <a:lnTo>
                <a:pt x="401" y="76"/>
              </a:lnTo>
              <a:lnTo>
                <a:pt x="401" y="73"/>
              </a:lnTo>
              <a:lnTo>
                <a:pt x="402" y="73"/>
              </a:lnTo>
              <a:close/>
              <a:moveTo>
                <a:pt x="402" y="77"/>
              </a:moveTo>
              <a:lnTo>
                <a:pt x="402" y="80"/>
              </a:lnTo>
              <a:lnTo>
                <a:pt x="401" y="80"/>
              </a:lnTo>
              <a:lnTo>
                <a:pt x="401" y="77"/>
              </a:lnTo>
              <a:lnTo>
                <a:pt x="402" y="77"/>
              </a:lnTo>
              <a:close/>
              <a:moveTo>
                <a:pt x="402" y="81"/>
              </a:moveTo>
              <a:lnTo>
                <a:pt x="402" y="84"/>
              </a:lnTo>
              <a:lnTo>
                <a:pt x="401" y="84"/>
              </a:lnTo>
              <a:lnTo>
                <a:pt x="401" y="81"/>
              </a:lnTo>
              <a:lnTo>
                <a:pt x="402" y="81"/>
              </a:lnTo>
              <a:close/>
              <a:moveTo>
                <a:pt x="402" y="85"/>
              </a:moveTo>
              <a:lnTo>
                <a:pt x="402" y="88"/>
              </a:lnTo>
              <a:lnTo>
                <a:pt x="401" y="88"/>
              </a:lnTo>
              <a:lnTo>
                <a:pt x="401" y="85"/>
              </a:lnTo>
              <a:lnTo>
                <a:pt x="402" y="85"/>
              </a:lnTo>
              <a:close/>
              <a:moveTo>
                <a:pt x="402" y="89"/>
              </a:moveTo>
              <a:lnTo>
                <a:pt x="402" y="92"/>
              </a:lnTo>
              <a:lnTo>
                <a:pt x="401" y="92"/>
              </a:lnTo>
              <a:lnTo>
                <a:pt x="401" y="89"/>
              </a:lnTo>
              <a:lnTo>
                <a:pt x="402" y="89"/>
              </a:lnTo>
              <a:close/>
              <a:moveTo>
                <a:pt x="402" y="92"/>
              </a:moveTo>
              <a:lnTo>
                <a:pt x="402" y="95"/>
              </a:lnTo>
              <a:lnTo>
                <a:pt x="401" y="95"/>
              </a:lnTo>
              <a:lnTo>
                <a:pt x="401" y="92"/>
              </a:lnTo>
              <a:lnTo>
                <a:pt x="402" y="92"/>
              </a:lnTo>
              <a:close/>
              <a:moveTo>
                <a:pt x="402" y="96"/>
              </a:moveTo>
              <a:lnTo>
                <a:pt x="402" y="99"/>
              </a:lnTo>
              <a:lnTo>
                <a:pt x="401" y="99"/>
              </a:lnTo>
              <a:lnTo>
                <a:pt x="401" y="96"/>
              </a:lnTo>
              <a:lnTo>
                <a:pt x="402" y="96"/>
              </a:lnTo>
              <a:close/>
              <a:moveTo>
                <a:pt x="402" y="100"/>
              </a:moveTo>
              <a:lnTo>
                <a:pt x="402" y="103"/>
              </a:lnTo>
              <a:lnTo>
                <a:pt x="401" y="103"/>
              </a:lnTo>
              <a:lnTo>
                <a:pt x="401" y="100"/>
              </a:lnTo>
              <a:lnTo>
                <a:pt x="402" y="100"/>
              </a:lnTo>
              <a:close/>
              <a:moveTo>
                <a:pt x="402" y="104"/>
              </a:moveTo>
              <a:lnTo>
                <a:pt x="402" y="107"/>
              </a:lnTo>
              <a:lnTo>
                <a:pt x="401" y="107"/>
              </a:lnTo>
              <a:lnTo>
                <a:pt x="401" y="104"/>
              </a:lnTo>
              <a:lnTo>
                <a:pt x="402" y="104"/>
              </a:lnTo>
              <a:close/>
              <a:moveTo>
                <a:pt x="402" y="108"/>
              </a:moveTo>
              <a:lnTo>
                <a:pt x="402" y="111"/>
              </a:lnTo>
              <a:lnTo>
                <a:pt x="401" y="111"/>
              </a:lnTo>
              <a:lnTo>
                <a:pt x="401" y="108"/>
              </a:lnTo>
              <a:lnTo>
                <a:pt x="402" y="108"/>
              </a:lnTo>
              <a:close/>
              <a:moveTo>
                <a:pt x="402" y="112"/>
              </a:moveTo>
              <a:lnTo>
                <a:pt x="402" y="115"/>
              </a:lnTo>
              <a:lnTo>
                <a:pt x="401" y="115"/>
              </a:lnTo>
              <a:lnTo>
                <a:pt x="401" y="112"/>
              </a:lnTo>
              <a:lnTo>
                <a:pt x="402" y="112"/>
              </a:lnTo>
              <a:close/>
              <a:moveTo>
                <a:pt x="402" y="116"/>
              </a:moveTo>
              <a:lnTo>
                <a:pt x="402" y="119"/>
              </a:lnTo>
              <a:lnTo>
                <a:pt x="401" y="119"/>
              </a:lnTo>
              <a:lnTo>
                <a:pt x="401" y="116"/>
              </a:lnTo>
              <a:lnTo>
                <a:pt x="402" y="116"/>
              </a:lnTo>
              <a:close/>
              <a:moveTo>
                <a:pt x="402" y="120"/>
              </a:moveTo>
              <a:lnTo>
                <a:pt x="402" y="123"/>
              </a:lnTo>
              <a:lnTo>
                <a:pt x="401" y="123"/>
              </a:lnTo>
              <a:lnTo>
                <a:pt x="401" y="120"/>
              </a:lnTo>
              <a:lnTo>
                <a:pt x="402" y="120"/>
              </a:lnTo>
              <a:close/>
              <a:moveTo>
                <a:pt x="402" y="124"/>
              </a:moveTo>
              <a:lnTo>
                <a:pt x="402" y="127"/>
              </a:lnTo>
              <a:lnTo>
                <a:pt x="401" y="127"/>
              </a:lnTo>
              <a:lnTo>
                <a:pt x="401" y="124"/>
              </a:lnTo>
              <a:lnTo>
                <a:pt x="402" y="124"/>
              </a:lnTo>
              <a:close/>
              <a:moveTo>
                <a:pt x="402" y="128"/>
              </a:moveTo>
              <a:lnTo>
                <a:pt x="402" y="131"/>
              </a:lnTo>
              <a:lnTo>
                <a:pt x="401" y="131"/>
              </a:lnTo>
              <a:lnTo>
                <a:pt x="401" y="128"/>
              </a:lnTo>
              <a:lnTo>
                <a:pt x="402" y="128"/>
              </a:lnTo>
              <a:close/>
              <a:moveTo>
                <a:pt x="402" y="132"/>
              </a:moveTo>
              <a:lnTo>
                <a:pt x="402" y="135"/>
              </a:lnTo>
              <a:lnTo>
                <a:pt x="401" y="135"/>
              </a:lnTo>
              <a:lnTo>
                <a:pt x="401" y="132"/>
              </a:lnTo>
              <a:lnTo>
                <a:pt x="402" y="132"/>
              </a:lnTo>
              <a:close/>
              <a:moveTo>
                <a:pt x="402" y="136"/>
              </a:moveTo>
              <a:lnTo>
                <a:pt x="402" y="139"/>
              </a:lnTo>
              <a:lnTo>
                <a:pt x="401" y="139"/>
              </a:lnTo>
              <a:lnTo>
                <a:pt x="401" y="136"/>
              </a:lnTo>
              <a:lnTo>
                <a:pt x="402" y="136"/>
              </a:lnTo>
              <a:close/>
              <a:moveTo>
                <a:pt x="402" y="140"/>
              </a:moveTo>
              <a:lnTo>
                <a:pt x="402" y="143"/>
              </a:lnTo>
              <a:lnTo>
                <a:pt x="401" y="143"/>
              </a:lnTo>
              <a:lnTo>
                <a:pt x="401" y="140"/>
              </a:lnTo>
              <a:lnTo>
                <a:pt x="402" y="140"/>
              </a:lnTo>
              <a:close/>
              <a:moveTo>
                <a:pt x="402" y="144"/>
              </a:moveTo>
              <a:lnTo>
                <a:pt x="402" y="147"/>
              </a:lnTo>
              <a:lnTo>
                <a:pt x="401" y="147"/>
              </a:lnTo>
              <a:lnTo>
                <a:pt x="401" y="144"/>
              </a:lnTo>
              <a:lnTo>
                <a:pt x="402" y="144"/>
              </a:lnTo>
              <a:close/>
              <a:moveTo>
                <a:pt x="402" y="148"/>
              </a:moveTo>
              <a:lnTo>
                <a:pt x="402" y="151"/>
              </a:lnTo>
              <a:lnTo>
                <a:pt x="401" y="151"/>
              </a:lnTo>
              <a:lnTo>
                <a:pt x="401" y="148"/>
              </a:lnTo>
              <a:lnTo>
                <a:pt x="402" y="148"/>
              </a:lnTo>
              <a:close/>
              <a:moveTo>
                <a:pt x="402" y="152"/>
              </a:moveTo>
              <a:lnTo>
                <a:pt x="402" y="155"/>
              </a:lnTo>
              <a:lnTo>
                <a:pt x="401" y="155"/>
              </a:lnTo>
              <a:lnTo>
                <a:pt x="401" y="152"/>
              </a:lnTo>
              <a:lnTo>
                <a:pt x="402" y="152"/>
              </a:lnTo>
              <a:close/>
              <a:moveTo>
                <a:pt x="402" y="156"/>
              </a:moveTo>
              <a:lnTo>
                <a:pt x="402" y="159"/>
              </a:lnTo>
              <a:lnTo>
                <a:pt x="401" y="159"/>
              </a:lnTo>
              <a:lnTo>
                <a:pt x="401" y="156"/>
              </a:lnTo>
              <a:lnTo>
                <a:pt x="402" y="156"/>
              </a:lnTo>
              <a:close/>
              <a:moveTo>
                <a:pt x="402" y="160"/>
              </a:moveTo>
              <a:lnTo>
                <a:pt x="402" y="163"/>
              </a:lnTo>
              <a:lnTo>
                <a:pt x="401" y="163"/>
              </a:lnTo>
              <a:lnTo>
                <a:pt x="401" y="160"/>
              </a:lnTo>
              <a:lnTo>
                <a:pt x="402" y="160"/>
              </a:lnTo>
              <a:close/>
              <a:moveTo>
                <a:pt x="402" y="164"/>
              </a:moveTo>
              <a:lnTo>
                <a:pt x="402" y="167"/>
              </a:lnTo>
              <a:lnTo>
                <a:pt x="401" y="167"/>
              </a:lnTo>
              <a:lnTo>
                <a:pt x="401" y="164"/>
              </a:lnTo>
              <a:lnTo>
                <a:pt x="402" y="164"/>
              </a:lnTo>
              <a:close/>
              <a:moveTo>
                <a:pt x="402" y="168"/>
              </a:moveTo>
              <a:lnTo>
                <a:pt x="402" y="171"/>
              </a:lnTo>
              <a:lnTo>
                <a:pt x="401" y="171"/>
              </a:lnTo>
              <a:lnTo>
                <a:pt x="401" y="168"/>
              </a:lnTo>
              <a:lnTo>
                <a:pt x="402" y="168"/>
              </a:lnTo>
              <a:close/>
              <a:moveTo>
                <a:pt x="402" y="172"/>
              </a:moveTo>
              <a:lnTo>
                <a:pt x="402" y="175"/>
              </a:lnTo>
              <a:lnTo>
                <a:pt x="401" y="175"/>
              </a:lnTo>
              <a:lnTo>
                <a:pt x="401" y="172"/>
              </a:lnTo>
              <a:lnTo>
                <a:pt x="402" y="172"/>
              </a:lnTo>
              <a:close/>
              <a:moveTo>
                <a:pt x="402" y="176"/>
              </a:moveTo>
              <a:lnTo>
                <a:pt x="402" y="179"/>
              </a:lnTo>
              <a:lnTo>
                <a:pt x="401" y="179"/>
              </a:lnTo>
              <a:lnTo>
                <a:pt x="401" y="176"/>
              </a:lnTo>
              <a:lnTo>
                <a:pt x="402" y="176"/>
              </a:lnTo>
              <a:close/>
              <a:moveTo>
                <a:pt x="402" y="180"/>
              </a:moveTo>
              <a:lnTo>
                <a:pt x="402" y="183"/>
              </a:lnTo>
              <a:lnTo>
                <a:pt x="401" y="183"/>
              </a:lnTo>
              <a:lnTo>
                <a:pt x="401" y="180"/>
              </a:lnTo>
              <a:lnTo>
                <a:pt x="402" y="180"/>
              </a:lnTo>
              <a:close/>
              <a:moveTo>
                <a:pt x="402" y="184"/>
              </a:moveTo>
              <a:lnTo>
                <a:pt x="402" y="187"/>
              </a:lnTo>
              <a:lnTo>
                <a:pt x="401" y="187"/>
              </a:lnTo>
              <a:lnTo>
                <a:pt x="401" y="184"/>
              </a:lnTo>
              <a:lnTo>
                <a:pt x="402" y="184"/>
              </a:lnTo>
              <a:close/>
              <a:moveTo>
                <a:pt x="402" y="188"/>
              </a:moveTo>
              <a:lnTo>
                <a:pt x="402" y="191"/>
              </a:lnTo>
              <a:lnTo>
                <a:pt x="401" y="191"/>
              </a:lnTo>
              <a:lnTo>
                <a:pt x="401" y="188"/>
              </a:lnTo>
              <a:lnTo>
                <a:pt x="402" y="188"/>
              </a:lnTo>
              <a:close/>
              <a:moveTo>
                <a:pt x="402" y="192"/>
              </a:moveTo>
              <a:lnTo>
                <a:pt x="402" y="195"/>
              </a:lnTo>
              <a:lnTo>
                <a:pt x="401" y="195"/>
              </a:lnTo>
              <a:lnTo>
                <a:pt x="401" y="192"/>
              </a:lnTo>
              <a:lnTo>
                <a:pt x="402" y="192"/>
              </a:lnTo>
              <a:close/>
              <a:moveTo>
                <a:pt x="402" y="196"/>
              </a:moveTo>
              <a:lnTo>
                <a:pt x="402" y="199"/>
              </a:lnTo>
              <a:lnTo>
                <a:pt x="401" y="199"/>
              </a:lnTo>
              <a:lnTo>
                <a:pt x="401" y="196"/>
              </a:lnTo>
              <a:lnTo>
                <a:pt x="402" y="196"/>
              </a:lnTo>
              <a:close/>
              <a:moveTo>
                <a:pt x="402" y="200"/>
              </a:moveTo>
              <a:lnTo>
                <a:pt x="402" y="203"/>
              </a:lnTo>
              <a:lnTo>
                <a:pt x="401" y="203"/>
              </a:lnTo>
              <a:lnTo>
                <a:pt x="401" y="200"/>
              </a:lnTo>
              <a:lnTo>
                <a:pt x="402" y="200"/>
              </a:lnTo>
              <a:close/>
              <a:moveTo>
                <a:pt x="402" y="204"/>
              </a:moveTo>
              <a:lnTo>
                <a:pt x="402" y="207"/>
              </a:lnTo>
              <a:lnTo>
                <a:pt x="401" y="207"/>
              </a:lnTo>
              <a:lnTo>
                <a:pt x="401" y="204"/>
              </a:lnTo>
              <a:lnTo>
                <a:pt x="402" y="204"/>
              </a:lnTo>
              <a:close/>
              <a:moveTo>
                <a:pt x="402" y="208"/>
              </a:moveTo>
              <a:lnTo>
                <a:pt x="402" y="211"/>
              </a:lnTo>
              <a:lnTo>
                <a:pt x="401" y="211"/>
              </a:lnTo>
              <a:lnTo>
                <a:pt x="401" y="208"/>
              </a:lnTo>
              <a:lnTo>
                <a:pt x="402" y="208"/>
              </a:lnTo>
              <a:close/>
              <a:moveTo>
                <a:pt x="402" y="212"/>
              </a:moveTo>
              <a:lnTo>
                <a:pt x="402" y="215"/>
              </a:lnTo>
              <a:lnTo>
                <a:pt x="401" y="215"/>
              </a:lnTo>
              <a:lnTo>
                <a:pt x="401" y="212"/>
              </a:lnTo>
              <a:lnTo>
                <a:pt x="402" y="212"/>
              </a:lnTo>
              <a:close/>
              <a:moveTo>
                <a:pt x="402" y="216"/>
              </a:moveTo>
              <a:lnTo>
                <a:pt x="402" y="219"/>
              </a:lnTo>
              <a:lnTo>
                <a:pt x="401" y="219"/>
              </a:lnTo>
              <a:lnTo>
                <a:pt x="401" y="216"/>
              </a:lnTo>
              <a:lnTo>
                <a:pt x="402" y="216"/>
              </a:lnTo>
              <a:close/>
              <a:moveTo>
                <a:pt x="402" y="220"/>
              </a:moveTo>
              <a:lnTo>
                <a:pt x="402" y="222"/>
              </a:lnTo>
              <a:lnTo>
                <a:pt x="401" y="222"/>
              </a:lnTo>
              <a:lnTo>
                <a:pt x="401" y="220"/>
              </a:lnTo>
              <a:lnTo>
                <a:pt x="402" y="220"/>
              </a:lnTo>
              <a:close/>
              <a:moveTo>
                <a:pt x="402" y="223"/>
              </a:moveTo>
              <a:lnTo>
                <a:pt x="402" y="226"/>
              </a:lnTo>
              <a:lnTo>
                <a:pt x="401" y="226"/>
              </a:lnTo>
              <a:lnTo>
                <a:pt x="401" y="223"/>
              </a:lnTo>
              <a:lnTo>
                <a:pt x="402" y="223"/>
              </a:lnTo>
              <a:close/>
              <a:moveTo>
                <a:pt x="402" y="227"/>
              </a:moveTo>
              <a:lnTo>
                <a:pt x="402" y="230"/>
              </a:lnTo>
              <a:lnTo>
                <a:pt x="401" y="230"/>
              </a:lnTo>
              <a:lnTo>
                <a:pt x="401" y="227"/>
              </a:lnTo>
              <a:lnTo>
                <a:pt x="402" y="227"/>
              </a:lnTo>
              <a:close/>
              <a:moveTo>
                <a:pt x="402" y="231"/>
              </a:moveTo>
              <a:lnTo>
                <a:pt x="402" y="234"/>
              </a:lnTo>
              <a:lnTo>
                <a:pt x="401" y="234"/>
              </a:lnTo>
              <a:lnTo>
                <a:pt x="401" y="231"/>
              </a:lnTo>
              <a:lnTo>
                <a:pt x="402" y="231"/>
              </a:lnTo>
              <a:close/>
              <a:moveTo>
                <a:pt x="402" y="235"/>
              </a:moveTo>
              <a:lnTo>
                <a:pt x="402" y="238"/>
              </a:lnTo>
              <a:lnTo>
                <a:pt x="401" y="238"/>
              </a:lnTo>
              <a:lnTo>
                <a:pt x="401" y="235"/>
              </a:lnTo>
              <a:lnTo>
                <a:pt x="402" y="235"/>
              </a:lnTo>
              <a:close/>
              <a:moveTo>
                <a:pt x="402" y="239"/>
              </a:moveTo>
              <a:lnTo>
                <a:pt x="402" y="242"/>
              </a:lnTo>
              <a:lnTo>
                <a:pt x="401" y="242"/>
              </a:lnTo>
              <a:lnTo>
                <a:pt x="401" y="239"/>
              </a:lnTo>
              <a:lnTo>
                <a:pt x="402" y="239"/>
              </a:lnTo>
              <a:close/>
              <a:moveTo>
                <a:pt x="402" y="243"/>
              </a:moveTo>
              <a:lnTo>
                <a:pt x="402" y="246"/>
              </a:lnTo>
              <a:lnTo>
                <a:pt x="401" y="246"/>
              </a:lnTo>
              <a:lnTo>
                <a:pt x="401" y="243"/>
              </a:lnTo>
              <a:lnTo>
                <a:pt x="402" y="243"/>
              </a:lnTo>
              <a:close/>
              <a:moveTo>
                <a:pt x="402" y="247"/>
              </a:moveTo>
              <a:lnTo>
                <a:pt x="402" y="250"/>
              </a:lnTo>
              <a:lnTo>
                <a:pt x="402" y="250"/>
              </a:lnTo>
              <a:lnTo>
                <a:pt x="401" y="250"/>
              </a:lnTo>
              <a:lnTo>
                <a:pt x="401" y="250"/>
              </a:lnTo>
              <a:lnTo>
                <a:pt x="401" y="250"/>
              </a:lnTo>
              <a:lnTo>
                <a:pt x="401" y="247"/>
              </a:lnTo>
              <a:lnTo>
                <a:pt x="402" y="247"/>
              </a:lnTo>
              <a:close/>
              <a:moveTo>
                <a:pt x="401" y="251"/>
              </a:moveTo>
              <a:lnTo>
                <a:pt x="401" y="254"/>
              </a:lnTo>
              <a:lnTo>
                <a:pt x="400" y="254"/>
              </a:lnTo>
              <a:lnTo>
                <a:pt x="400" y="251"/>
              </a:lnTo>
              <a:lnTo>
                <a:pt x="401" y="251"/>
              </a:lnTo>
              <a:close/>
              <a:moveTo>
                <a:pt x="401" y="255"/>
              </a:moveTo>
              <a:lnTo>
                <a:pt x="401" y="258"/>
              </a:lnTo>
              <a:lnTo>
                <a:pt x="400" y="258"/>
              </a:lnTo>
              <a:lnTo>
                <a:pt x="400" y="255"/>
              </a:lnTo>
              <a:lnTo>
                <a:pt x="401" y="255"/>
              </a:lnTo>
              <a:close/>
              <a:moveTo>
                <a:pt x="401" y="259"/>
              </a:moveTo>
              <a:lnTo>
                <a:pt x="401" y="260"/>
              </a:lnTo>
              <a:lnTo>
                <a:pt x="400" y="262"/>
              </a:lnTo>
              <a:lnTo>
                <a:pt x="399" y="262"/>
              </a:lnTo>
              <a:lnTo>
                <a:pt x="400" y="260"/>
              </a:lnTo>
              <a:lnTo>
                <a:pt x="400" y="260"/>
              </a:lnTo>
              <a:lnTo>
                <a:pt x="400" y="259"/>
              </a:lnTo>
              <a:lnTo>
                <a:pt x="401" y="259"/>
              </a:lnTo>
              <a:close/>
              <a:moveTo>
                <a:pt x="400" y="263"/>
              </a:moveTo>
              <a:lnTo>
                <a:pt x="399" y="265"/>
              </a:lnTo>
              <a:lnTo>
                <a:pt x="399" y="266"/>
              </a:lnTo>
              <a:lnTo>
                <a:pt x="398" y="266"/>
              </a:lnTo>
              <a:lnTo>
                <a:pt x="398" y="265"/>
              </a:lnTo>
              <a:lnTo>
                <a:pt x="398" y="265"/>
              </a:lnTo>
              <a:lnTo>
                <a:pt x="399" y="263"/>
              </a:lnTo>
              <a:lnTo>
                <a:pt x="400" y="263"/>
              </a:lnTo>
              <a:close/>
              <a:moveTo>
                <a:pt x="399" y="267"/>
              </a:moveTo>
              <a:lnTo>
                <a:pt x="398" y="270"/>
              </a:lnTo>
              <a:lnTo>
                <a:pt x="397" y="270"/>
              </a:lnTo>
              <a:lnTo>
                <a:pt x="397" y="269"/>
              </a:lnTo>
              <a:lnTo>
                <a:pt x="397" y="269"/>
              </a:lnTo>
              <a:lnTo>
                <a:pt x="397" y="269"/>
              </a:lnTo>
              <a:lnTo>
                <a:pt x="398" y="267"/>
              </a:lnTo>
              <a:lnTo>
                <a:pt x="399" y="267"/>
              </a:lnTo>
              <a:close/>
              <a:moveTo>
                <a:pt x="397" y="271"/>
              </a:moveTo>
              <a:lnTo>
                <a:pt x="396" y="273"/>
              </a:lnTo>
              <a:lnTo>
                <a:pt x="395" y="273"/>
              </a:lnTo>
              <a:lnTo>
                <a:pt x="396" y="270"/>
              </a:lnTo>
              <a:lnTo>
                <a:pt x="397" y="271"/>
              </a:lnTo>
              <a:close/>
              <a:moveTo>
                <a:pt x="395" y="274"/>
              </a:moveTo>
              <a:lnTo>
                <a:pt x="394" y="277"/>
              </a:lnTo>
              <a:lnTo>
                <a:pt x="393" y="276"/>
              </a:lnTo>
              <a:lnTo>
                <a:pt x="394" y="274"/>
              </a:lnTo>
              <a:lnTo>
                <a:pt x="395" y="274"/>
              </a:lnTo>
              <a:close/>
              <a:moveTo>
                <a:pt x="393" y="278"/>
              </a:moveTo>
              <a:lnTo>
                <a:pt x="393" y="278"/>
              </a:lnTo>
              <a:lnTo>
                <a:pt x="391" y="280"/>
              </a:lnTo>
              <a:lnTo>
                <a:pt x="390" y="279"/>
              </a:lnTo>
              <a:lnTo>
                <a:pt x="392" y="277"/>
              </a:lnTo>
              <a:lnTo>
                <a:pt x="392" y="277"/>
              </a:lnTo>
              <a:lnTo>
                <a:pt x="392" y="277"/>
              </a:lnTo>
              <a:lnTo>
                <a:pt x="393" y="278"/>
              </a:lnTo>
              <a:close/>
              <a:moveTo>
                <a:pt x="391" y="281"/>
              </a:moveTo>
              <a:lnTo>
                <a:pt x="389" y="283"/>
              </a:lnTo>
              <a:lnTo>
                <a:pt x="388" y="283"/>
              </a:lnTo>
              <a:lnTo>
                <a:pt x="390" y="280"/>
              </a:lnTo>
              <a:lnTo>
                <a:pt x="391" y="281"/>
              </a:lnTo>
              <a:close/>
              <a:moveTo>
                <a:pt x="388" y="284"/>
              </a:moveTo>
              <a:lnTo>
                <a:pt x="387" y="285"/>
              </a:lnTo>
              <a:lnTo>
                <a:pt x="386" y="286"/>
              </a:lnTo>
              <a:lnTo>
                <a:pt x="385" y="285"/>
              </a:lnTo>
              <a:lnTo>
                <a:pt x="386" y="285"/>
              </a:lnTo>
              <a:lnTo>
                <a:pt x="386" y="285"/>
              </a:lnTo>
              <a:lnTo>
                <a:pt x="387" y="283"/>
              </a:lnTo>
              <a:lnTo>
                <a:pt x="388" y="284"/>
              </a:lnTo>
              <a:close/>
              <a:moveTo>
                <a:pt x="385" y="287"/>
              </a:moveTo>
              <a:lnTo>
                <a:pt x="383" y="289"/>
              </a:lnTo>
              <a:lnTo>
                <a:pt x="382" y="288"/>
              </a:lnTo>
              <a:lnTo>
                <a:pt x="384" y="286"/>
              </a:lnTo>
              <a:lnTo>
                <a:pt x="385" y="287"/>
              </a:lnTo>
              <a:close/>
              <a:moveTo>
                <a:pt x="382" y="289"/>
              </a:moveTo>
              <a:lnTo>
                <a:pt x="380" y="291"/>
              </a:lnTo>
              <a:lnTo>
                <a:pt x="379" y="290"/>
              </a:lnTo>
              <a:lnTo>
                <a:pt x="381" y="288"/>
              </a:lnTo>
              <a:lnTo>
                <a:pt x="382" y="289"/>
              </a:lnTo>
              <a:close/>
              <a:moveTo>
                <a:pt x="379" y="292"/>
              </a:moveTo>
              <a:lnTo>
                <a:pt x="376" y="293"/>
              </a:lnTo>
              <a:lnTo>
                <a:pt x="376" y="293"/>
              </a:lnTo>
              <a:lnTo>
                <a:pt x="378" y="291"/>
              </a:lnTo>
              <a:lnTo>
                <a:pt x="379" y="292"/>
              </a:lnTo>
              <a:close/>
              <a:moveTo>
                <a:pt x="375" y="294"/>
              </a:moveTo>
              <a:lnTo>
                <a:pt x="375" y="294"/>
              </a:lnTo>
              <a:lnTo>
                <a:pt x="373" y="295"/>
              </a:lnTo>
              <a:lnTo>
                <a:pt x="372" y="294"/>
              </a:lnTo>
              <a:lnTo>
                <a:pt x="375" y="293"/>
              </a:lnTo>
              <a:lnTo>
                <a:pt x="375" y="293"/>
              </a:lnTo>
              <a:lnTo>
                <a:pt x="375" y="293"/>
              </a:lnTo>
              <a:lnTo>
                <a:pt x="375" y="294"/>
              </a:lnTo>
              <a:close/>
              <a:moveTo>
                <a:pt x="372" y="296"/>
              </a:moveTo>
              <a:lnTo>
                <a:pt x="371" y="296"/>
              </a:lnTo>
              <a:lnTo>
                <a:pt x="369" y="297"/>
              </a:lnTo>
              <a:lnTo>
                <a:pt x="369" y="296"/>
              </a:lnTo>
              <a:lnTo>
                <a:pt x="370" y="295"/>
              </a:lnTo>
              <a:lnTo>
                <a:pt x="370" y="295"/>
              </a:lnTo>
              <a:lnTo>
                <a:pt x="371" y="295"/>
              </a:lnTo>
              <a:lnTo>
                <a:pt x="372" y="296"/>
              </a:lnTo>
              <a:close/>
              <a:moveTo>
                <a:pt x="368" y="297"/>
              </a:moveTo>
              <a:lnTo>
                <a:pt x="366" y="298"/>
              </a:lnTo>
              <a:lnTo>
                <a:pt x="365" y="298"/>
              </a:lnTo>
              <a:lnTo>
                <a:pt x="365" y="297"/>
              </a:lnTo>
              <a:lnTo>
                <a:pt x="366" y="297"/>
              </a:lnTo>
              <a:lnTo>
                <a:pt x="366" y="297"/>
              </a:lnTo>
              <a:lnTo>
                <a:pt x="368" y="296"/>
              </a:lnTo>
              <a:lnTo>
                <a:pt x="368" y="297"/>
              </a:lnTo>
              <a:close/>
              <a:moveTo>
                <a:pt x="364" y="298"/>
              </a:moveTo>
              <a:lnTo>
                <a:pt x="361" y="299"/>
              </a:lnTo>
              <a:lnTo>
                <a:pt x="361" y="298"/>
              </a:lnTo>
              <a:lnTo>
                <a:pt x="364" y="297"/>
              </a:lnTo>
              <a:lnTo>
                <a:pt x="364" y="298"/>
              </a:lnTo>
              <a:close/>
              <a:moveTo>
                <a:pt x="360" y="299"/>
              </a:moveTo>
              <a:lnTo>
                <a:pt x="357" y="300"/>
              </a:lnTo>
              <a:lnTo>
                <a:pt x="357" y="299"/>
              </a:lnTo>
              <a:lnTo>
                <a:pt x="360" y="298"/>
              </a:lnTo>
              <a:lnTo>
                <a:pt x="360" y="299"/>
              </a:lnTo>
              <a:close/>
              <a:moveTo>
                <a:pt x="356" y="300"/>
              </a:moveTo>
              <a:lnTo>
                <a:pt x="356" y="300"/>
              </a:lnTo>
              <a:lnTo>
                <a:pt x="353" y="300"/>
              </a:lnTo>
              <a:lnTo>
                <a:pt x="353" y="299"/>
              </a:lnTo>
              <a:lnTo>
                <a:pt x="356" y="299"/>
              </a:lnTo>
              <a:lnTo>
                <a:pt x="356" y="299"/>
              </a:lnTo>
              <a:lnTo>
                <a:pt x="356" y="299"/>
              </a:lnTo>
              <a:lnTo>
                <a:pt x="356" y="300"/>
              </a:lnTo>
              <a:close/>
              <a:moveTo>
                <a:pt x="352" y="300"/>
              </a:moveTo>
              <a:lnTo>
                <a:pt x="351" y="300"/>
              </a:lnTo>
              <a:lnTo>
                <a:pt x="349" y="300"/>
              </a:lnTo>
              <a:lnTo>
                <a:pt x="349" y="299"/>
              </a:lnTo>
              <a:lnTo>
                <a:pt x="351" y="299"/>
              </a:lnTo>
              <a:lnTo>
                <a:pt x="351" y="299"/>
              </a:lnTo>
              <a:lnTo>
                <a:pt x="352" y="299"/>
              </a:lnTo>
              <a:lnTo>
                <a:pt x="352" y="300"/>
              </a:lnTo>
              <a:close/>
              <a:moveTo>
                <a:pt x="348" y="300"/>
              </a:moveTo>
              <a:lnTo>
                <a:pt x="345" y="300"/>
              </a:lnTo>
              <a:lnTo>
                <a:pt x="345" y="299"/>
              </a:lnTo>
              <a:lnTo>
                <a:pt x="348" y="299"/>
              </a:lnTo>
              <a:lnTo>
                <a:pt x="348" y="300"/>
              </a:lnTo>
              <a:close/>
              <a:moveTo>
                <a:pt x="344" y="300"/>
              </a:moveTo>
              <a:lnTo>
                <a:pt x="341" y="300"/>
              </a:lnTo>
              <a:lnTo>
                <a:pt x="341" y="299"/>
              </a:lnTo>
              <a:lnTo>
                <a:pt x="344" y="299"/>
              </a:lnTo>
              <a:lnTo>
                <a:pt x="344" y="300"/>
              </a:lnTo>
              <a:close/>
              <a:moveTo>
                <a:pt x="340" y="300"/>
              </a:moveTo>
              <a:lnTo>
                <a:pt x="337" y="300"/>
              </a:lnTo>
              <a:lnTo>
                <a:pt x="337" y="299"/>
              </a:lnTo>
              <a:lnTo>
                <a:pt x="340" y="299"/>
              </a:lnTo>
              <a:lnTo>
                <a:pt x="340" y="300"/>
              </a:lnTo>
              <a:close/>
              <a:moveTo>
                <a:pt x="336" y="300"/>
              </a:moveTo>
              <a:lnTo>
                <a:pt x="333" y="300"/>
              </a:lnTo>
              <a:lnTo>
                <a:pt x="333" y="299"/>
              </a:lnTo>
              <a:lnTo>
                <a:pt x="336" y="299"/>
              </a:lnTo>
              <a:lnTo>
                <a:pt x="336" y="300"/>
              </a:lnTo>
              <a:close/>
              <a:moveTo>
                <a:pt x="332" y="300"/>
              </a:moveTo>
              <a:lnTo>
                <a:pt x="329" y="300"/>
              </a:lnTo>
              <a:lnTo>
                <a:pt x="329" y="299"/>
              </a:lnTo>
              <a:lnTo>
                <a:pt x="332" y="299"/>
              </a:lnTo>
              <a:lnTo>
                <a:pt x="332" y="300"/>
              </a:lnTo>
              <a:close/>
              <a:moveTo>
                <a:pt x="328" y="300"/>
              </a:moveTo>
              <a:lnTo>
                <a:pt x="325" y="300"/>
              </a:lnTo>
              <a:lnTo>
                <a:pt x="325" y="299"/>
              </a:lnTo>
              <a:lnTo>
                <a:pt x="328" y="299"/>
              </a:lnTo>
              <a:lnTo>
                <a:pt x="328" y="300"/>
              </a:lnTo>
              <a:close/>
              <a:moveTo>
                <a:pt x="324" y="300"/>
              </a:moveTo>
              <a:lnTo>
                <a:pt x="321" y="300"/>
              </a:lnTo>
              <a:lnTo>
                <a:pt x="321" y="299"/>
              </a:lnTo>
              <a:lnTo>
                <a:pt x="324" y="299"/>
              </a:lnTo>
              <a:lnTo>
                <a:pt x="324" y="300"/>
              </a:lnTo>
              <a:close/>
              <a:moveTo>
                <a:pt x="320" y="300"/>
              </a:moveTo>
              <a:lnTo>
                <a:pt x="317" y="300"/>
              </a:lnTo>
              <a:lnTo>
                <a:pt x="317" y="299"/>
              </a:lnTo>
              <a:lnTo>
                <a:pt x="320" y="299"/>
              </a:lnTo>
              <a:lnTo>
                <a:pt x="320" y="300"/>
              </a:lnTo>
              <a:close/>
              <a:moveTo>
                <a:pt x="316" y="300"/>
              </a:moveTo>
              <a:lnTo>
                <a:pt x="313" y="300"/>
              </a:lnTo>
              <a:lnTo>
                <a:pt x="313" y="299"/>
              </a:lnTo>
              <a:lnTo>
                <a:pt x="316" y="299"/>
              </a:lnTo>
              <a:lnTo>
                <a:pt x="316" y="300"/>
              </a:lnTo>
              <a:close/>
              <a:moveTo>
                <a:pt x="312" y="300"/>
              </a:moveTo>
              <a:lnTo>
                <a:pt x="309" y="300"/>
              </a:lnTo>
              <a:lnTo>
                <a:pt x="309" y="299"/>
              </a:lnTo>
              <a:lnTo>
                <a:pt x="312" y="299"/>
              </a:lnTo>
              <a:lnTo>
                <a:pt x="312" y="300"/>
              </a:lnTo>
              <a:close/>
              <a:moveTo>
                <a:pt x="308" y="300"/>
              </a:moveTo>
              <a:lnTo>
                <a:pt x="305" y="300"/>
              </a:lnTo>
              <a:lnTo>
                <a:pt x="305" y="299"/>
              </a:lnTo>
              <a:lnTo>
                <a:pt x="308" y="299"/>
              </a:lnTo>
              <a:lnTo>
                <a:pt x="308" y="300"/>
              </a:lnTo>
              <a:close/>
              <a:moveTo>
                <a:pt x="304" y="300"/>
              </a:moveTo>
              <a:lnTo>
                <a:pt x="301" y="300"/>
              </a:lnTo>
              <a:lnTo>
                <a:pt x="301" y="299"/>
              </a:lnTo>
              <a:lnTo>
                <a:pt x="304" y="299"/>
              </a:lnTo>
              <a:lnTo>
                <a:pt x="304" y="300"/>
              </a:lnTo>
              <a:close/>
              <a:moveTo>
                <a:pt x="300" y="300"/>
              </a:moveTo>
              <a:lnTo>
                <a:pt x="297" y="300"/>
              </a:lnTo>
              <a:lnTo>
                <a:pt x="297" y="299"/>
              </a:lnTo>
              <a:lnTo>
                <a:pt x="300" y="299"/>
              </a:lnTo>
              <a:lnTo>
                <a:pt x="300" y="300"/>
              </a:lnTo>
              <a:close/>
              <a:moveTo>
                <a:pt x="296" y="300"/>
              </a:moveTo>
              <a:lnTo>
                <a:pt x="293" y="300"/>
              </a:lnTo>
              <a:lnTo>
                <a:pt x="293" y="299"/>
              </a:lnTo>
              <a:lnTo>
                <a:pt x="296" y="299"/>
              </a:lnTo>
              <a:lnTo>
                <a:pt x="296" y="300"/>
              </a:lnTo>
              <a:close/>
              <a:moveTo>
                <a:pt x="292" y="300"/>
              </a:moveTo>
              <a:lnTo>
                <a:pt x="289" y="300"/>
              </a:lnTo>
              <a:lnTo>
                <a:pt x="289" y="299"/>
              </a:lnTo>
              <a:lnTo>
                <a:pt x="292" y="299"/>
              </a:lnTo>
              <a:lnTo>
                <a:pt x="292" y="300"/>
              </a:lnTo>
              <a:close/>
              <a:moveTo>
                <a:pt x="288" y="300"/>
              </a:moveTo>
              <a:lnTo>
                <a:pt x="285" y="300"/>
              </a:lnTo>
              <a:lnTo>
                <a:pt x="285" y="299"/>
              </a:lnTo>
              <a:lnTo>
                <a:pt x="288" y="299"/>
              </a:lnTo>
              <a:lnTo>
                <a:pt x="288" y="300"/>
              </a:lnTo>
              <a:close/>
              <a:moveTo>
                <a:pt x="284" y="300"/>
              </a:moveTo>
              <a:lnTo>
                <a:pt x="281" y="300"/>
              </a:lnTo>
              <a:lnTo>
                <a:pt x="281" y="299"/>
              </a:lnTo>
              <a:lnTo>
                <a:pt x="284" y="299"/>
              </a:lnTo>
              <a:lnTo>
                <a:pt x="284" y="300"/>
              </a:lnTo>
              <a:close/>
              <a:moveTo>
                <a:pt x="280" y="300"/>
              </a:moveTo>
              <a:lnTo>
                <a:pt x="277" y="300"/>
              </a:lnTo>
              <a:lnTo>
                <a:pt x="277" y="299"/>
              </a:lnTo>
              <a:lnTo>
                <a:pt x="280" y="299"/>
              </a:lnTo>
              <a:lnTo>
                <a:pt x="280" y="300"/>
              </a:lnTo>
              <a:close/>
              <a:moveTo>
                <a:pt x="276" y="300"/>
              </a:moveTo>
              <a:lnTo>
                <a:pt x="273" y="300"/>
              </a:lnTo>
              <a:lnTo>
                <a:pt x="273" y="299"/>
              </a:lnTo>
              <a:lnTo>
                <a:pt x="276" y="299"/>
              </a:lnTo>
              <a:lnTo>
                <a:pt x="276" y="300"/>
              </a:lnTo>
              <a:close/>
              <a:moveTo>
                <a:pt x="272" y="300"/>
              </a:moveTo>
              <a:lnTo>
                <a:pt x="269" y="300"/>
              </a:lnTo>
              <a:lnTo>
                <a:pt x="269" y="299"/>
              </a:lnTo>
              <a:lnTo>
                <a:pt x="272" y="299"/>
              </a:lnTo>
              <a:lnTo>
                <a:pt x="272" y="300"/>
              </a:lnTo>
              <a:close/>
              <a:moveTo>
                <a:pt x="268" y="300"/>
              </a:moveTo>
              <a:lnTo>
                <a:pt x="265" y="300"/>
              </a:lnTo>
              <a:lnTo>
                <a:pt x="265" y="299"/>
              </a:lnTo>
              <a:lnTo>
                <a:pt x="268" y="299"/>
              </a:lnTo>
              <a:lnTo>
                <a:pt x="268" y="300"/>
              </a:lnTo>
              <a:close/>
              <a:moveTo>
                <a:pt x="264" y="300"/>
              </a:moveTo>
              <a:lnTo>
                <a:pt x="261" y="300"/>
              </a:lnTo>
              <a:lnTo>
                <a:pt x="261" y="299"/>
              </a:lnTo>
              <a:lnTo>
                <a:pt x="264" y="299"/>
              </a:lnTo>
              <a:lnTo>
                <a:pt x="264" y="300"/>
              </a:lnTo>
              <a:close/>
              <a:moveTo>
                <a:pt x="260" y="300"/>
              </a:moveTo>
              <a:lnTo>
                <a:pt x="257" y="300"/>
              </a:lnTo>
              <a:lnTo>
                <a:pt x="257" y="299"/>
              </a:lnTo>
              <a:lnTo>
                <a:pt x="260" y="299"/>
              </a:lnTo>
              <a:lnTo>
                <a:pt x="260" y="300"/>
              </a:lnTo>
              <a:close/>
              <a:moveTo>
                <a:pt x="256" y="300"/>
              </a:moveTo>
              <a:lnTo>
                <a:pt x="253" y="300"/>
              </a:lnTo>
              <a:lnTo>
                <a:pt x="253" y="299"/>
              </a:lnTo>
              <a:lnTo>
                <a:pt x="256" y="299"/>
              </a:lnTo>
              <a:lnTo>
                <a:pt x="256" y="300"/>
              </a:lnTo>
              <a:close/>
              <a:moveTo>
                <a:pt x="252" y="300"/>
              </a:moveTo>
              <a:lnTo>
                <a:pt x="249" y="300"/>
              </a:lnTo>
              <a:lnTo>
                <a:pt x="249" y="299"/>
              </a:lnTo>
              <a:lnTo>
                <a:pt x="252" y="299"/>
              </a:lnTo>
              <a:lnTo>
                <a:pt x="252" y="300"/>
              </a:lnTo>
              <a:close/>
              <a:moveTo>
                <a:pt x="248" y="300"/>
              </a:moveTo>
              <a:lnTo>
                <a:pt x="245" y="300"/>
              </a:lnTo>
              <a:lnTo>
                <a:pt x="245" y="299"/>
              </a:lnTo>
              <a:lnTo>
                <a:pt x="248" y="299"/>
              </a:lnTo>
              <a:lnTo>
                <a:pt x="248" y="300"/>
              </a:lnTo>
              <a:close/>
              <a:moveTo>
                <a:pt x="244" y="300"/>
              </a:moveTo>
              <a:lnTo>
                <a:pt x="241" y="300"/>
              </a:lnTo>
              <a:lnTo>
                <a:pt x="241" y="299"/>
              </a:lnTo>
              <a:lnTo>
                <a:pt x="244" y="299"/>
              </a:lnTo>
              <a:lnTo>
                <a:pt x="244" y="300"/>
              </a:lnTo>
              <a:close/>
              <a:moveTo>
                <a:pt x="240" y="300"/>
              </a:moveTo>
              <a:lnTo>
                <a:pt x="237" y="300"/>
              </a:lnTo>
              <a:lnTo>
                <a:pt x="237" y="299"/>
              </a:lnTo>
              <a:lnTo>
                <a:pt x="240" y="299"/>
              </a:lnTo>
              <a:lnTo>
                <a:pt x="240" y="300"/>
              </a:lnTo>
              <a:close/>
              <a:moveTo>
                <a:pt x="236" y="300"/>
              </a:moveTo>
              <a:lnTo>
                <a:pt x="233" y="300"/>
              </a:lnTo>
              <a:lnTo>
                <a:pt x="233" y="299"/>
              </a:lnTo>
              <a:lnTo>
                <a:pt x="236" y="299"/>
              </a:lnTo>
              <a:lnTo>
                <a:pt x="236" y="300"/>
              </a:lnTo>
              <a:close/>
              <a:moveTo>
                <a:pt x="232" y="300"/>
              </a:moveTo>
              <a:lnTo>
                <a:pt x="229" y="300"/>
              </a:lnTo>
              <a:lnTo>
                <a:pt x="229" y="299"/>
              </a:lnTo>
              <a:lnTo>
                <a:pt x="232" y="299"/>
              </a:lnTo>
              <a:lnTo>
                <a:pt x="232" y="300"/>
              </a:lnTo>
              <a:close/>
              <a:moveTo>
                <a:pt x="228" y="300"/>
              </a:moveTo>
              <a:lnTo>
                <a:pt x="225" y="300"/>
              </a:lnTo>
              <a:lnTo>
                <a:pt x="225" y="299"/>
              </a:lnTo>
              <a:lnTo>
                <a:pt x="228" y="299"/>
              </a:lnTo>
              <a:lnTo>
                <a:pt x="228" y="300"/>
              </a:lnTo>
              <a:close/>
              <a:moveTo>
                <a:pt x="224" y="300"/>
              </a:moveTo>
              <a:lnTo>
                <a:pt x="221" y="300"/>
              </a:lnTo>
              <a:lnTo>
                <a:pt x="221" y="299"/>
              </a:lnTo>
              <a:lnTo>
                <a:pt x="224" y="299"/>
              </a:lnTo>
              <a:lnTo>
                <a:pt x="224" y="300"/>
              </a:lnTo>
              <a:close/>
              <a:moveTo>
                <a:pt x="220" y="300"/>
              </a:moveTo>
              <a:lnTo>
                <a:pt x="217" y="300"/>
              </a:lnTo>
              <a:lnTo>
                <a:pt x="217" y="299"/>
              </a:lnTo>
              <a:lnTo>
                <a:pt x="220" y="299"/>
              </a:lnTo>
              <a:lnTo>
                <a:pt x="220" y="300"/>
              </a:lnTo>
              <a:close/>
              <a:moveTo>
                <a:pt x="216" y="300"/>
              </a:moveTo>
              <a:lnTo>
                <a:pt x="213" y="300"/>
              </a:lnTo>
              <a:lnTo>
                <a:pt x="213" y="299"/>
              </a:lnTo>
              <a:lnTo>
                <a:pt x="216" y="299"/>
              </a:lnTo>
              <a:lnTo>
                <a:pt x="216" y="300"/>
              </a:lnTo>
              <a:close/>
              <a:moveTo>
                <a:pt x="212" y="300"/>
              </a:moveTo>
              <a:lnTo>
                <a:pt x="209" y="300"/>
              </a:lnTo>
              <a:lnTo>
                <a:pt x="209" y="299"/>
              </a:lnTo>
              <a:lnTo>
                <a:pt x="212" y="299"/>
              </a:lnTo>
              <a:lnTo>
                <a:pt x="212" y="300"/>
              </a:lnTo>
              <a:close/>
              <a:moveTo>
                <a:pt x="208" y="300"/>
              </a:moveTo>
              <a:lnTo>
                <a:pt x="205" y="300"/>
              </a:lnTo>
              <a:lnTo>
                <a:pt x="205" y="299"/>
              </a:lnTo>
              <a:lnTo>
                <a:pt x="208" y="299"/>
              </a:lnTo>
              <a:lnTo>
                <a:pt x="208" y="300"/>
              </a:lnTo>
              <a:close/>
              <a:moveTo>
                <a:pt x="204" y="300"/>
              </a:moveTo>
              <a:lnTo>
                <a:pt x="201" y="300"/>
              </a:lnTo>
              <a:lnTo>
                <a:pt x="201" y="299"/>
              </a:lnTo>
              <a:lnTo>
                <a:pt x="204" y="299"/>
              </a:lnTo>
              <a:lnTo>
                <a:pt x="204" y="300"/>
              </a:lnTo>
              <a:close/>
              <a:moveTo>
                <a:pt x="200" y="300"/>
              </a:moveTo>
              <a:lnTo>
                <a:pt x="197" y="300"/>
              </a:lnTo>
              <a:lnTo>
                <a:pt x="197" y="299"/>
              </a:lnTo>
              <a:lnTo>
                <a:pt x="200" y="299"/>
              </a:lnTo>
              <a:lnTo>
                <a:pt x="200" y="300"/>
              </a:lnTo>
              <a:close/>
              <a:moveTo>
                <a:pt x="196" y="300"/>
              </a:moveTo>
              <a:lnTo>
                <a:pt x="193" y="300"/>
              </a:lnTo>
              <a:lnTo>
                <a:pt x="193" y="299"/>
              </a:lnTo>
              <a:lnTo>
                <a:pt x="196" y="299"/>
              </a:lnTo>
              <a:lnTo>
                <a:pt x="196" y="300"/>
              </a:lnTo>
              <a:close/>
              <a:moveTo>
                <a:pt x="192" y="300"/>
              </a:moveTo>
              <a:lnTo>
                <a:pt x="189" y="300"/>
              </a:lnTo>
              <a:lnTo>
                <a:pt x="189" y="299"/>
              </a:lnTo>
              <a:lnTo>
                <a:pt x="192" y="299"/>
              </a:lnTo>
              <a:lnTo>
                <a:pt x="192" y="300"/>
              </a:lnTo>
              <a:close/>
              <a:moveTo>
                <a:pt x="188" y="300"/>
              </a:moveTo>
              <a:lnTo>
                <a:pt x="185" y="300"/>
              </a:lnTo>
              <a:lnTo>
                <a:pt x="185" y="299"/>
              </a:lnTo>
              <a:lnTo>
                <a:pt x="188" y="299"/>
              </a:lnTo>
              <a:lnTo>
                <a:pt x="188" y="300"/>
              </a:lnTo>
              <a:close/>
              <a:moveTo>
                <a:pt x="184" y="300"/>
              </a:moveTo>
              <a:lnTo>
                <a:pt x="181" y="300"/>
              </a:lnTo>
              <a:lnTo>
                <a:pt x="181" y="299"/>
              </a:lnTo>
              <a:lnTo>
                <a:pt x="184" y="299"/>
              </a:lnTo>
              <a:lnTo>
                <a:pt x="184" y="300"/>
              </a:lnTo>
              <a:close/>
              <a:moveTo>
                <a:pt x="180" y="300"/>
              </a:moveTo>
              <a:lnTo>
                <a:pt x="177" y="300"/>
              </a:lnTo>
              <a:lnTo>
                <a:pt x="177" y="299"/>
              </a:lnTo>
              <a:lnTo>
                <a:pt x="180" y="299"/>
              </a:lnTo>
              <a:lnTo>
                <a:pt x="180" y="300"/>
              </a:lnTo>
              <a:close/>
              <a:moveTo>
                <a:pt x="176" y="300"/>
              </a:moveTo>
              <a:lnTo>
                <a:pt x="173" y="300"/>
              </a:lnTo>
              <a:lnTo>
                <a:pt x="173" y="299"/>
              </a:lnTo>
              <a:lnTo>
                <a:pt x="176" y="299"/>
              </a:lnTo>
              <a:lnTo>
                <a:pt x="176" y="300"/>
              </a:lnTo>
              <a:close/>
              <a:moveTo>
                <a:pt x="172" y="300"/>
              </a:moveTo>
              <a:lnTo>
                <a:pt x="169" y="300"/>
              </a:lnTo>
              <a:lnTo>
                <a:pt x="169" y="299"/>
              </a:lnTo>
              <a:lnTo>
                <a:pt x="172" y="299"/>
              </a:lnTo>
              <a:lnTo>
                <a:pt x="172" y="300"/>
              </a:lnTo>
              <a:close/>
              <a:moveTo>
                <a:pt x="168" y="300"/>
              </a:moveTo>
              <a:lnTo>
                <a:pt x="165" y="300"/>
              </a:lnTo>
              <a:lnTo>
                <a:pt x="165" y="299"/>
              </a:lnTo>
              <a:lnTo>
                <a:pt x="168" y="299"/>
              </a:lnTo>
              <a:lnTo>
                <a:pt x="168" y="300"/>
              </a:lnTo>
              <a:close/>
              <a:moveTo>
                <a:pt x="164" y="300"/>
              </a:moveTo>
              <a:lnTo>
                <a:pt x="161" y="300"/>
              </a:lnTo>
              <a:lnTo>
                <a:pt x="161" y="299"/>
              </a:lnTo>
              <a:lnTo>
                <a:pt x="164" y="299"/>
              </a:lnTo>
              <a:lnTo>
                <a:pt x="164" y="300"/>
              </a:lnTo>
              <a:close/>
              <a:moveTo>
                <a:pt x="160" y="300"/>
              </a:moveTo>
              <a:lnTo>
                <a:pt x="157" y="300"/>
              </a:lnTo>
              <a:lnTo>
                <a:pt x="157" y="299"/>
              </a:lnTo>
              <a:lnTo>
                <a:pt x="160" y="299"/>
              </a:lnTo>
              <a:lnTo>
                <a:pt x="160" y="300"/>
              </a:lnTo>
              <a:close/>
              <a:moveTo>
                <a:pt x="156" y="300"/>
              </a:moveTo>
              <a:lnTo>
                <a:pt x="153" y="300"/>
              </a:lnTo>
              <a:lnTo>
                <a:pt x="153" y="299"/>
              </a:lnTo>
              <a:lnTo>
                <a:pt x="156" y="299"/>
              </a:lnTo>
              <a:lnTo>
                <a:pt x="156" y="300"/>
              </a:lnTo>
              <a:close/>
              <a:moveTo>
                <a:pt x="152" y="300"/>
              </a:moveTo>
              <a:lnTo>
                <a:pt x="149" y="300"/>
              </a:lnTo>
              <a:lnTo>
                <a:pt x="149" y="299"/>
              </a:lnTo>
              <a:lnTo>
                <a:pt x="152" y="299"/>
              </a:lnTo>
              <a:lnTo>
                <a:pt x="152" y="300"/>
              </a:lnTo>
              <a:close/>
              <a:moveTo>
                <a:pt x="148" y="300"/>
              </a:moveTo>
              <a:lnTo>
                <a:pt x="145" y="300"/>
              </a:lnTo>
              <a:lnTo>
                <a:pt x="145" y="299"/>
              </a:lnTo>
              <a:lnTo>
                <a:pt x="148" y="299"/>
              </a:lnTo>
              <a:lnTo>
                <a:pt x="148" y="300"/>
              </a:lnTo>
              <a:close/>
              <a:moveTo>
                <a:pt x="144" y="300"/>
              </a:moveTo>
              <a:lnTo>
                <a:pt x="141" y="300"/>
              </a:lnTo>
              <a:lnTo>
                <a:pt x="141" y="299"/>
              </a:lnTo>
              <a:lnTo>
                <a:pt x="144" y="299"/>
              </a:lnTo>
              <a:lnTo>
                <a:pt x="144" y="300"/>
              </a:lnTo>
              <a:close/>
              <a:moveTo>
                <a:pt x="140" y="300"/>
              </a:moveTo>
              <a:lnTo>
                <a:pt x="137" y="300"/>
              </a:lnTo>
              <a:lnTo>
                <a:pt x="137" y="299"/>
              </a:lnTo>
              <a:lnTo>
                <a:pt x="140" y="299"/>
              </a:lnTo>
              <a:lnTo>
                <a:pt x="140" y="300"/>
              </a:lnTo>
              <a:close/>
              <a:moveTo>
                <a:pt x="136" y="300"/>
              </a:moveTo>
              <a:lnTo>
                <a:pt x="133" y="300"/>
              </a:lnTo>
              <a:lnTo>
                <a:pt x="133" y="299"/>
              </a:lnTo>
              <a:lnTo>
                <a:pt x="136" y="299"/>
              </a:lnTo>
              <a:lnTo>
                <a:pt x="136" y="300"/>
              </a:lnTo>
              <a:close/>
              <a:moveTo>
                <a:pt x="132" y="300"/>
              </a:moveTo>
              <a:lnTo>
                <a:pt x="129" y="300"/>
              </a:lnTo>
              <a:lnTo>
                <a:pt x="129" y="299"/>
              </a:lnTo>
              <a:lnTo>
                <a:pt x="132" y="299"/>
              </a:lnTo>
              <a:lnTo>
                <a:pt x="132" y="300"/>
              </a:lnTo>
              <a:close/>
              <a:moveTo>
                <a:pt x="128" y="300"/>
              </a:moveTo>
              <a:lnTo>
                <a:pt x="125" y="300"/>
              </a:lnTo>
              <a:lnTo>
                <a:pt x="125" y="299"/>
              </a:lnTo>
              <a:lnTo>
                <a:pt x="128" y="299"/>
              </a:lnTo>
              <a:lnTo>
                <a:pt x="128" y="300"/>
              </a:lnTo>
              <a:close/>
              <a:moveTo>
                <a:pt x="124" y="300"/>
              </a:moveTo>
              <a:lnTo>
                <a:pt x="121" y="300"/>
              </a:lnTo>
              <a:lnTo>
                <a:pt x="121" y="299"/>
              </a:lnTo>
              <a:lnTo>
                <a:pt x="124" y="299"/>
              </a:lnTo>
              <a:lnTo>
                <a:pt x="124" y="300"/>
              </a:lnTo>
              <a:close/>
              <a:moveTo>
                <a:pt x="120" y="300"/>
              </a:moveTo>
              <a:lnTo>
                <a:pt x="117" y="300"/>
              </a:lnTo>
              <a:lnTo>
                <a:pt x="117" y="299"/>
              </a:lnTo>
              <a:lnTo>
                <a:pt x="120" y="299"/>
              </a:lnTo>
              <a:lnTo>
                <a:pt x="120" y="300"/>
              </a:lnTo>
              <a:close/>
              <a:moveTo>
                <a:pt x="116" y="300"/>
              </a:moveTo>
              <a:lnTo>
                <a:pt x="113" y="300"/>
              </a:lnTo>
              <a:lnTo>
                <a:pt x="113" y="299"/>
              </a:lnTo>
              <a:lnTo>
                <a:pt x="116" y="299"/>
              </a:lnTo>
              <a:lnTo>
                <a:pt x="116" y="300"/>
              </a:lnTo>
              <a:close/>
              <a:moveTo>
                <a:pt x="112" y="300"/>
              </a:moveTo>
              <a:lnTo>
                <a:pt x="109" y="300"/>
              </a:lnTo>
              <a:lnTo>
                <a:pt x="109" y="299"/>
              </a:lnTo>
              <a:lnTo>
                <a:pt x="112" y="299"/>
              </a:lnTo>
              <a:lnTo>
                <a:pt x="112" y="300"/>
              </a:lnTo>
              <a:close/>
              <a:moveTo>
                <a:pt x="108" y="300"/>
              </a:moveTo>
              <a:lnTo>
                <a:pt x="105" y="300"/>
              </a:lnTo>
              <a:lnTo>
                <a:pt x="105" y="299"/>
              </a:lnTo>
              <a:lnTo>
                <a:pt x="108" y="299"/>
              </a:lnTo>
              <a:lnTo>
                <a:pt x="108" y="300"/>
              </a:lnTo>
              <a:close/>
              <a:moveTo>
                <a:pt x="104" y="300"/>
              </a:moveTo>
              <a:lnTo>
                <a:pt x="101" y="300"/>
              </a:lnTo>
              <a:lnTo>
                <a:pt x="101" y="299"/>
              </a:lnTo>
              <a:lnTo>
                <a:pt x="104" y="299"/>
              </a:lnTo>
              <a:lnTo>
                <a:pt x="104" y="300"/>
              </a:lnTo>
              <a:close/>
              <a:moveTo>
                <a:pt x="100" y="300"/>
              </a:moveTo>
              <a:lnTo>
                <a:pt x="97" y="300"/>
              </a:lnTo>
              <a:lnTo>
                <a:pt x="97" y="299"/>
              </a:lnTo>
              <a:lnTo>
                <a:pt x="100" y="299"/>
              </a:lnTo>
              <a:lnTo>
                <a:pt x="100" y="300"/>
              </a:lnTo>
              <a:close/>
              <a:moveTo>
                <a:pt x="96" y="300"/>
              </a:moveTo>
              <a:lnTo>
                <a:pt x="93" y="300"/>
              </a:lnTo>
              <a:lnTo>
                <a:pt x="93" y="299"/>
              </a:lnTo>
              <a:lnTo>
                <a:pt x="96" y="299"/>
              </a:lnTo>
              <a:lnTo>
                <a:pt x="96" y="300"/>
              </a:lnTo>
              <a:close/>
              <a:moveTo>
                <a:pt x="92" y="300"/>
              </a:moveTo>
              <a:lnTo>
                <a:pt x="89" y="300"/>
              </a:lnTo>
              <a:lnTo>
                <a:pt x="89" y="299"/>
              </a:lnTo>
              <a:lnTo>
                <a:pt x="92" y="299"/>
              </a:lnTo>
              <a:lnTo>
                <a:pt x="92" y="300"/>
              </a:lnTo>
              <a:close/>
              <a:moveTo>
                <a:pt x="88" y="300"/>
              </a:moveTo>
              <a:lnTo>
                <a:pt x="85" y="300"/>
              </a:lnTo>
              <a:lnTo>
                <a:pt x="85" y="299"/>
              </a:lnTo>
              <a:lnTo>
                <a:pt x="88" y="299"/>
              </a:lnTo>
              <a:lnTo>
                <a:pt x="88" y="300"/>
              </a:lnTo>
              <a:close/>
              <a:moveTo>
                <a:pt x="84" y="300"/>
              </a:moveTo>
              <a:lnTo>
                <a:pt x="81" y="300"/>
              </a:lnTo>
              <a:lnTo>
                <a:pt x="81" y="299"/>
              </a:lnTo>
              <a:lnTo>
                <a:pt x="84" y="299"/>
              </a:lnTo>
              <a:lnTo>
                <a:pt x="84" y="300"/>
              </a:lnTo>
              <a:close/>
              <a:moveTo>
                <a:pt x="80" y="300"/>
              </a:moveTo>
              <a:lnTo>
                <a:pt x="77" y="300"/>
              </a:lnTo>
              <a:lnTo>
                <a:pt x="77" y="299"/>
              </a:lnTo>
              <a:lnTo>
                <a:pt x="80" y="299"/>
              </a:lnTo>
              <a:lnTo>
                <a:pt x="80" y="300"/>
              </a:lnTo>
              <a:close/>
              <a:moveTo>
                <a:pt x="76" y="300"/>
              </a:moveTo>
              <a:lnTo>
                <a:pt x="73" y="300"/>
              </a:lnTo>
              <a:lnTo>
                <a:pt x="73" y="299"/>
              </a:lnTo>
              <a:lnTo>
                <a:pt x="76" y="299"/>
              </a:lnTo>
              <a:lnTo>
                <a:pt x="76" y="300"/>
              </a:lnTo>
              <a:close/>
              <a:moveTo>
                <a:pt x="72" y="300"/>
              </a:moveTo>
              <a:lnTo>
                <a:pt x="69" y="300"/>
              </a:lnTo>
              <a:lnTo>
                <a:pt x="69" y="299"/>
              </a:lnTo>
              <a:lnTo>
                <a:pt x="72" y="299"/>
              </a:lnTo>
              <a:lnTo>
                <a:pt x="72" y="300"/>
              </a:lnTo>
              <a:close/>
              <a:moveTo>
                <a:pt x="68" y="300"/>
              </a:moveTo>
              <a:lnTo>
                <a:pt x="65" y="300"/>
              </a:lnTo>
              <a:lnTo>
                <a:pt x="65" y="299"/>
              </a:lnTo>
              <a:lnTo>
                <a:pt x="68" y="299"/>
              </a:lnTo>
              <a:lnTo>
                <a:pt x="68" y="300"/>
              </a:lnTo>
              <a:close/>
              <a:moveTo>
                <a:pt x="64" y="300"/>
              </a:moveTo>
              <a:lnTo>
                <a:pt x="61" y="300"/>
              </a:lnTo>
              <a:lnTo>
                <a:pt x="61" y="299"/>
              </a:lnTo>
              <a:lnTo>
                <a:pt x="64" y="299"/>
              </a:lnTo>
              <a:lnTo>
                <a:pt x="64" y="300"/>
              </a:lnTo>
              <a:close/>
              <a:moveTo>
                <a:pt x="60" y="300"/>
              </a:moveTo>
              <a:lnTo>
                <a:pt x="57" y="300"/>
              </a:lnTo>
              <a:lnTo>
                <a:pt x="57" y="299"/>
              </a:lnTo>
              <a:lnTo>
                <a:pt x="60" y="299"/>
              </a:lnTo>
              <a:lnTo>
                <a:pt x="60" y="300"/>
              </a:lnTo>
              <a:close/>
              <a:moveTo>
                <a:pt x="56" y="300"/>
              </a:moveTo>
              <a:lnTo>
                <a:pt x="53" y="300"/>
              </a:lnTo>
              <a:lnTo>
                <a:pt x="53" y="299"/>
              </a:lnTo>
              <a:lnTo>
                <a:pt x="56" y="299"/>
              </a:lnTo>
              <a:lnTo>
                <a:pt x="56" y="300"/>
              </a:lnTo>
              <a:close/>
              <a:moveTo>
                <a:pt x="52" y="300"/>
              </a:moveTo>
              <a:lnTo>
                <a:pt x="51" y="300"/>
              </a:lnTo>
              <a:lnTo>
                <a:pt x="49" y="300"/>
              </a:lnTo>
              <a:lnTo>
                <a:pt x="49" y="299"/>
              </a:lnTo>
              <a:lnTo>
                <a:pt x="51" y="299"/>
              </a:lnTo>
              <a:lnTo>
                <a:pt x="51" y="299"/>
              </a:lnTo>
              <a:lnTo>
                <a:pt x="52" y="299"/>
              </a:lnTo>
              <a:lnTo>
                <a:pt x="52" y="300"/>
              </a:lnTo>
              <a:close/>
              <a:moveTo>
                <a:pt x="48" y="300"/>
              </a:moveTo>
              <a:lnTo>
                <a:pt x="46" y="300"/>
              </a:lnTo>
              <a:lnTo>
                <a:pt x="45" y="300"/>
              </a:lnTo>
              <a:lnTo>
                <a:pt x="45" y="299"/>
              </a:lnTo>
              <a:lnTo>
                <a:pt x="46" y="299"/>
              </a:lnTo>
              <a:lnTo>
                <a:pt x="46" y="299"/>
              </a:lnTo>
              <a:lnTo>
                <a:pt x="48" y="299"/>
              </a:lnTo>
              <a:lnTo>
                <a:pt x="48" y="300"/>
              </a:lnTo>
              <a:close/>
              <a:moveTo>
                <a:pt x="44" y="300"/>
              </a:moveTo>
              <a:lnTo>
                <a:pt x="41" y="299"/>
              </a:lnTo>
              <a:lnTo>
                <a:pt x="41" y="298"/>
              </a:lnTo>
              <a:lnTo>
                <a:pt x="44" y="299"/>
              </a:lnTo>
              <a:lnTo>
                <a:pt x="44" y="300"/>
              </a:lnTo>
              <a:close/>
              <a:moveTo>
                <a:pt x="40" y="299"/>
              </a:moveTo>
              <a:lnTo>
                <a:pt x="37" y="298"/>
              </a:lnTo>
              <a:lnTo>
                <a:pt x="37" y="297"/>
              </a:lnTo>
              <a:lnTo>
                <a:pt x="40" y="298"/>
              </a:lnTo>
              <a:lnTo>
                <a:pt x="40" y="299"/>
              </a:lnTo>
              <a:close/>
              <a:moveTo>
                <a:pt x="36" y="298"/>
              </a:moveTo>
              <a:lnTo>
                <a:pt x="36" y="298"/>
              </a:lnTo>
              <a:lnTo>
                <a:pt x="33" y="297"/>
              </a:lnTo>
              <a:lnTo>
                <a:pt x="33" y="296"/>
              </a:lnTo>
              <a:lnTo>
                <a:pt x="36" y="297"/>
              </a:lnTo>
              <a:lnTo>
                <a:pt x="36" y="297"/>
              </a:lnTo>
              <a:lnTo>
                <a:pt x="36" y="297"/>
              </a:lnTo>
              <a:lnTo>
                <a:pt x="36" y="298"/>
              </a:lnTo>
              <a:close/>
              <a:moveTo>
                <a:pt x="32" y="297"/>
              </a:moveTo>
              <a:lnTo>
                <a:pt x="31" y="296"/>
              </a:lnTo>
              <a:lnTo>
                <a:pt x="29" y="295"/>
              </a:lnTo>
              <a:lnTo>
                <a:pt x="30" y="295"/>
              </a:lnTo>
              <a:lnTo>
                <a:pt x="31" y="295"/>
              </a:lnTo>
              <a:lnTo>
                <a:pt x="31" y="295"/>
              </a:lnTo>
              <a:lnTo>
                <a:pt x="32" y="296"/>
              </a:lnTo>
              <a:lnTo>
                <a:pt x="32" y="297"/>
              </a:lnTo>
              <a:close/>
              <a:moveTo>
                <a:pt x="28" y="295"/>
              </a:moveTo>
              <a:lnTo>
                <a:pt x="26" y="294"/>
              </a:lnTo>
              <a:lnTo>
                <a:pt x="26" y="294"/>
              </a:lnTo>
              <a:lnTo>
                <a:pt x="26" y="293"/>
              </a:lnTo>
              <a:lnTo>
                <a:pt x="27" y="293"/>
              </a:lnTo>
              <a:lnTo>
                <a:pt x="27" y="293"/>
              </a:lnTo>
              <a:lnTo>
                <a:pt x="29" y="294"/>
              </a:lnTo>
              <a:lnTo>
                <a:pt x="28" y="295"/>
              </a:lnTo>
              <a:close/>
              <a:moveTo>
                <a:pt x="25" y="293"/>
              </a:moveTo>
              <a:lnTo>
                <a:pt x="22" y="292"/>
              </a:lnTo>
              <a:lnTo>
                <a:pt x="22" y="291"/>
              </a:lnTo>
              <a:lnTo>
                <a:pt x="23" y="291"/>
              </a:lnTo>
              <a:lnTo>
                <a:pt x="23" y="291"/>
              </a:lnTo>
              <a:lnTo>
                <a:pt x="23" y="291"/>
              </a:lnTo>
              <a:lnTo>
                <a:pt x="25" y="292"/>
              </a:lnTo>
              <a:lnTo>
                <a:pt x="25" y="293"/>
              </a:lnTo>
              <a:close/>
              <a:moveTo>
                <a:pt x="21" y="291"/>
              </a:moveTo>
              <a:lnTo>
                <a:pt x="19" y="289"/>
              </a:lnTo>
              <a:lnTo>
                <a:pt x="20" y="288"/>
              </a:lnTo>
              <a:lnTo>
                <a:pt x="22" y="290"/>
              </a:lnTo>
              <a:lnTo>
                <a:pt x="21" y="291"/>
              </a:lnTo>
              <a:close/>
              <a:moveTo>
                <a:pt x="18" y="288"/>
              </a:moveTo>
              <a:lnTo>
                <a:pt x="16" y="286"/>
              </a:lnTo>
              <a:lnTo>
                <a:pt x="17" y="286"/>
              </a:lnTo>
              <a:lnTo>
                <a:pt x="19" y="287"/>
              </a:lnTo>
              <a:lnTo>
                <a:pt x="18" y="288"/>
              </a:lnTo>
              <a:close/>
              <a:moveTo>
                <a:pt x="15" y="286"/>
              </a:moveTo>
              <a:lnTo>
                <a:pt x="15" y="285"/>
              </a:lnTo>
              <a:lnTo>
                <a:pt x="13" y="284"/>
              </a:lnTo>
              <a:lnTo>
                <a:pt x="14" y="283"/>
              </a:lnTo>
              <a:lnTo>
                <a:pt x="15" y="285"/>
              </a:lnTo>
              <a:lnTo>
                <a:pt x="15" y="285"/>
              </a:lnTo>
              <a:lnTo>
                <a:pt x="16" y="285"/>
              </a:lnTo>
              <a:lnTo>
                <a:pt x="15" y="286"/>
              </a:lnTo>
              <a:close/>
              <a:moveTo>
                <a:pt x="12" y="283"/>
              </a:moveTo>
              <a:lnTo>
                <a:pt x="12" y="282"/>
              </a:lnTo>
              <a:lnTo>
                <a:pt x="10" y="280"/>
              </a:lnTo>
              <a:lnTo>
                <a:pt x="11" y="280"/>
              </a:lnTo>
              <a:lnTo>
                <a:pt x="12" y="281"/>
              </a:lnTo>
              <a:lnTo>
                <a:pt x="12" y="281"/>
              </a:lnTo>
              <a:lnTo>
                <a:pt x="13" y="282"/>
              </a:lnTo>
              <a:lnTo>
                <a:pt x="12" y="283"/>
              </a:lnTo>
              <a:close/>
              <a:moveTo>
                <a:pt x="10" y="280"/>
              </a:moveTo>
              <a:lnTo>
                <a:pt x="9" y="278"/>
              </a:lnTo>
              <a:lnTo>
                <a:pt x="8" y="277"/>
              </a:lnTo>
              <a:lnTo>
                <a:pt x="9" y="277"/>
              </a:lnTo>
              <a:lnTo>
                <a:pt x="9" y="277"/>
              </a:lnTo>
              <a:lnTo>
                <a:pt x="9" y="277"/>
              </a:lnTo>
              <a:lnTo>
                <a:pt x="11" y="279"/>
              </a:lnTo>
              <a:lnTo>
                <a:pt x="10" y="280"/>
              </a:lnTo>
              <a:close/>
              <a:moveTo>
                <a:pt x="8" y="276"/>
              </a:moveTo>
              <a:lnTo>
                <a:pt x="6" y="274"/>
              </a:lnTo>
              <a:lnTo>
                <a:pt x="6" y="274"/>
              </a:lnTo>
              <a:lnTo>
                <a:pt x="7" y="273"/>
              </a:lnTo>
              <a:lnTo>
                <a:pt x="7" y="273"/>
              </a:lnTo>
              <a:lnTo>
                <a:pt x="7" y="273"/>
              </a:lnTo>
              <a:lnTo>
                <a:pt x="8" y="276"/>
              </a:lnTo>
              <a:lnTo>
                <a:pt x="8" y="276"/>
              </a:lnTo>
              <a:close/>
              <a:moveTo>
                <a:pt x="6" y="273"/>
              </a:moveTo>
              <a:lnTo>
                <a:pt x="4" y="270"/>
              </a:lnTo>
              <a:lnTo>
                <a:pt x="5" y="270"/>
              </a:lnTo>
              <a:lnTo>
                <a:pt x="6" y="272"/>
              </a:lnTo>
              <a:lnTo>
                <a:pt x="6" y="273"/>
              </a:lnTo>
              <a:close/>
              <a:moveTo>
                <a:pt x="4" y="269"/>
              </a:moveTo>
              <a:lnTo>
                <a:pt x="3" y="266"/>
              </a:lnTo>
              <a:lnTo>
                <a:pt x="4" y="266"/>
              </a:lnTo>
              <a:lnTo>
                <a:pt x="5" y="269"/>
              </a:lnTo>
              <a:lnTo>
                <a:pt x="4" y="269"/>
              </a:lnTo>
              <a:close/>
              <a:moveTo>
                <a:pt x="2" y="265"/>
              </a:moveTo>
              <a:lnTo>
                <a:pt x="2" y="265"/>
              </a:lnTo>
              <a:lnTo>
                <a:pt x="2" y="263"/>
              </a:lnTo>
              <a:lnTo>
                <a:pt x="3" y="262"/>
              </a:lnTo>
              <a:lnTo>
                <a:pt x="3" y="265"/>
              </a:lnTo>
              <a:lnTo>
                <a:pt x="3" y="265"/>
              </a:lnTo>
              <a:lnTo>
                <a:pt x="3" y="265"/>
              </a:lnTo>
              <a:lnTo>
                <a:pt x="2" y="265"/>
              </a:lnTo>
              <a:close/>
              <a:moveTo>
                <a:pt x="1" y="262"/>
              </a:moveTo>
              <a:lnTo>
                <a:pt x="1" y="260"/>
              </a:lnTo>
              <a:lnTo>
                <a:pt x="1" y="259"/>
              </a:lnTo>
              <a:lnTo>
                <a:pt x="2" y="259"/>
              </a:lnTo>
              <a:lnTo>
                <a:pt x="2" y="260"/>
              </a:lnTo>
              <a:lnTo>
                <a:pt x="2" y="260"/>
              </a:lnTo>
              <a:lnTo>
                <a:pt x="2" y="261"/>
              </a:lnTo>
              <a:lnTo>
                <a:pt x="1" y="262"/>
              </a:lnTo>
              <a:close/>
              <a:moveTo>
                <a:pt x="1" y="258"/>
              </a:moveTo>
              <a:lnTo>
                <a:pt x="0" y="255"/>
              </a:lnTo>
              <a:lnTo>
                <a:pt x="0" y="255"/>
              </a:lnTo>
              <a:lnTo>
                <a:pt x="1" y="255"/>
              </a:lnTo>
              <a:lnTo>
                <a:pt x="1" y="255"/>
              </a:lnTo>
              <a:lnTo>
                <a:pt x="1" y="255"/>
              </a:lnTo>
              <a:lnTo>
                <a:pt x="2" y="258"/>
              </a:lnTo>
              <a:lnTo>
                <a:pt x="1" y="258"/>
              </a:lnTo>
              <a:close/>
              <a:moveTo>
                <a:pt x="0" y="254"/>
              </a:moveTo>
              <a:lnTo>
                <a:pt x="0" y="251"/>
              </a:lnTo>
              <a:lnTo>
                <a:pt x="1" y="251"/>
              </a:lnTo>
              <a:lnTo>
                <a:pt x="1" y="254"/>
              </a:lnTo>
              <a:lnTo>
                <a:pt x="0" y="254"/>
              </a:lnTo>
              <a:close/>
            </a:path>
          </a:pathLst>
        </a:custGeom>
        <a:solidFill>
          <a:schemeClr val="accent4"/>
        </a:solidFill>
        <a:ln w="0" cap="flat">
          <a:solidFill>
            <a:schemeClr val="accent4">
              <a:lumMod val="75000"/>
            </a:schemeClr>
          </a:solidFill>
          <a:prstDash val="solid"/>
          <a:round/>
          <a:headEnd/>
          <a:tailEnd/>
        </a:ln>
      </xdr:spPr>
    </xdr:sp>
    <xdr:clientData/>
  </xdr:twoCellAnchor>
  <xdr:twoCellAnchor>
    <xdr:from>
      <xdr:col>19</xdr:col>
      <xdr:colOff>185913</xdr:colOff>
      <xdr:row>7</xdr:row>
      <xdr:rowOff>177550</xdr:rowOff>
    </xdr:from>
    <xdr:to>
      <xdr:col>26</xdr:col>
      <xdr:colOff>88473</xdr:colOff>
      <xdr:row>9</xdr:row>
      <xdr:rowOff>50914</xdr:rowOff>
    </xdr:to>
    <xdr:sp macro="" textlink="">
      <xdr:nvSpPr>
        <xdr:cNvPr id="34" name="Rectangle 36">
          <a:extLst>
            <a:ext uri="{FF2B5EF4-FFF2-40B4-BE49-F238E27FC236}">
              <a16:creationId xmlns:a16="http://schemas.microsoft.com/office/drawing/2014/main" id="{00000000-0008-0000-0000-000022000000}"/>
            </a:ext>
          </a:extLst>
        </xdr:cNvPr>
        <xdr:cNvSpPr>
          <a:spLocks noChangeArrowheads="1"/>
        </xdr:cNvSpPr>
      </xdr:nvSpPr>
      <xdr:spPr bwMode="auto">
        <a:xfrm>
          <a:off x="11584163" y="1786217"/>
          <a:ext cx="3998310" cy="25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ctr" rtl="0">
            <a:defRPr sz="1000"/>
          </a:pPr>
          <a:r>
            <a:rPr lang="en-US" sz="1600" b="1" i="0" u="none" strike="noStrike" baseline="0">
              <a:solidFill>
                <a:srgbClr val="000000"/>
              </a:solidFill>
              <a:latin typeface="Calibri"/>
              <a:cs typeface="Calibri"/>
            </a:rPr>
            <a:t>Applies at each selected intersection form</a:t>
          </a:r>
        </a:p>
      </xdr:txBody>
    </xdr:sp>
    <xdr:clientData/>
  </xdr:twoCellAnchor>
  <xdr:twoCellAnchor>
    <xdr:from>
      <xdr:col>21</xdr:col>
      <xdr:colOff>15591</xdr:colOff>
      <xdr:row>23</xdr:row>
      <xdr:rowOff>178001</xdr:rowOff>
    </xdr:from>
    <xdr:to>
      <xdr:col>21</xdr:col>
      <xdr:colOff>207600</xdr:colOff>
      <xdr:row>24</xdr:row>
      <xdr:rowOff>98570</xdr:rowOff>
    </xdr:to>
    <xdr:sp macro="" textlink="">
      <xdr:nvSpPr>
        <xdr:cNvPr id="35" name="Oval 37">
          <a:extLst>
            <a:ext uri="{FF2B5EF4-FFF2-40B4-BE49-F238E27FC236}">
              <a16:creationId xmlns:a16="http://schemas.microsoft.com/office/drawing/2014/main" id="{00000000-0008-0000-0000-000023000000}"/>
            </a:ext>
          </a:extLst>
        </xdr:cNvPr>
        <xdr:cNvSpPr>
          <a:spLocks noChangeArrowheads="1"/>
        </xdr:cNvSpPr>
      </xdr:nvSpPr>
      <xdr:spPr bwMode="auto">
        <a:xfrm>
          <a:off x="12419258" y="5056918"/>
          <a:ext cx="192009" cy="121652"/>
        </a:xfrm>
        <a:prstGeom prst="ellipse">
          <a:avLst/>
        </a:prstGeom>
        <a:solidFill>
          <a:srgbClr val="0070C0"/>
        </a:solidFill>
        <a:ln w="0">
          <a:solidFill>
            <a:srgbClr val="000000"/>
          </a:solidFill>
          <a:prstDash val="solid"/>
          <a:round/>
          <a:headEnd/>
          <a:tailEnd/>
        </a:ln>
      </xdr:spPr>
    </xdr:sp>
    <xdr:clientData/>
  </xdr:twoCellAnchor>
  <xdr:twoCellAnchor>
    <xdr:from>
      <xdr:col>21</xdr:col>
      <xdr:colOff>15591</xdr:colOff>
      <xdr:row>23</xdr:row>
      <xdr:rowOff>178001</xdr:rowOff>
    </xdr:from>
    <xdr:to>
      <xdr:col>21</xdr:col>
      <xdr:colOff>207600</xdr:colOff>
      <xdr:row>24</xdr:row>
      <xdr:rowOff>98570</xdr:rowOff>
    </xdr:to>
    <xdr:sp macro="" textlink="">
      <xdr:nvSpPr>
        <xdr:cNvPr id="36" name="Oval 38">
          <a:extLst>
            <a:ext uri="{FF2B5EF4-FFF2-40B4-BE49-F238E27FC236}">
              <a16:creationId xmlns:a16="http://schemas.microsoft.com/office/drawing/2014/main" id="{00000000-0008-0000-0000-000024000000}"/>
            </a:ext>
          </a:extLst>
        </xdr:cNvPr>
        <xdr:cNvSpPr>
          <a:spLocks noChangeArrowheads="1"/>
        </xdr:cNvSpPr>
      </xdr:nvSpPr>
      <xdr:spPr bwMode="auto">
        <a:xfrm>
          <a:off x="12419258" y="5056918"/>
          <a:ext cx="192009" cy="121652"/>
        </a:xfrm>
        <a:prstGeom prst="ellipse">
          <a:avLst/>
        </a:prstGeom>
        <a:noFill/>
        <a:ln w="9525" cap="flat">
          <a:solidFill>
            <a:srgbClr val="0070C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15591</xdr:colOff>
      <xdr:row>24</xdr:row>
      <xdr:rowOff>187045</xdr:rowOff>
    </xdr:from>
    <xdr:to>
      <xdr:col>21</xdr:col>
      <xdr:colOff>207600</xdr:colOff>
      <xdr:row>25</xdr:row>
      <xdr:rowOff>129257</xdr:rowOff>
    </xdr:to>
    <xdr:sp macro="" textlink="">
      <xdr:nvSpPr>
        <xdr:cNvPr id="37" name="Oval 39">
          <a:extLst>
            <a:ext uri="{FF2B5EF4-FFF2-40B4-BE49-F238E27FC236}">
              <a16:creationId xmlns:a16="http://schemas.microsoft.com/office/drawing/2014/main" id="{00000000-0008-0000-0000-000025000000}"/>
            </a:ext>
          </a:extLst>
        </xdr:cNvPr>
        <xdr:cNvSpPr>
          <a:spLocks noChangeArrowheads="1"/>
        </xdr:cNvSpPr>
      </xdr:nvSpPr>
      <xdr:spPr bwMode="auto">
        <a:xfrm>
          <a:off x="12419258" y="5267045"/>
          <a:ext cx="192009" cy="132712"/>
        </a:xfrm>
        <a:prstGeom prst="ellipse">
          <a:avLst/>
        </a:prstGeom>
        <a:solidFill>
          <a:srgbClr val="7030A0"/>
        </a:solidFill>
        <a:ln w="0">
          <a:solidFill>
            <a:srgbClr val="000000"/>
          </a:solidFill>
          <a:prstDash val="solid"/>
          <a:round/>
          <a:headEnd/>
          <a:tailEnd/>
        </a:ln>
      </xdr:spPr>
    </xdr:sp>
    <xdr:clientData/>
  </xdr:twoCellAnchor>
  <xdr:twoCellAnchor>
    <xdr:from>
      <xdr:col>21</xdr:col>
      <xdr:colOff>15591</xdr:colOff>
      <xdr:row>24</xdr:row>
      <xdr:rowOff>187045</xdr:rowOff>
    </xdr:from>
    <xdr:to>
      <xdr:col>21</xdr:col>
      <xdr:colOff>207600</xdr:colOff>
      <xdr:row>25</xdr:row>
      <xdr:rowOff>129257</xdr:rowOff>
    </xdr:to>
    <xdr:sp macro="" textlink="">
      <xdr:nvSpPr>
        <xdr:cNvPr id="38" name="Oval 40">
          <a:extLst>
            <a:ext uri="{FF2B5EF4-FFF2-40B4-BE49-F238E27FC236}">
              <a16:creationId xmlns:a16="http://schemas.microsoft.com/office/drawing/2014/main" id="{00000000-0008-0000-0000-000026000000}"/>
            </a:ext>
          </a:extLst>
        </xdr:cNvPr>
        <xdr:cNvSpPr>
          <a:spLocks noChangeArrowheads="1"/>
        </xdr:cNvSpPr>
      </xdr:nvSpPr>
      <xdr:spPr bwMode="auto">
        <a:xfrm>
          <a:off x="12419258" y="5267045"/>
          <a:ext cx="192009" cy="132712"/>
        </a:xfrm>
        <a:prstGeom prst="ellipse">
          <a:avLst/>
        </a:prstGeom>
        <a:noFill/>
        <a:ln w="9525" cap="flat">
          <a:solidFill>
            <a:srgbClr val="7030A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26885</xdr:colOff>
      <xdr:row>26</xdr:row>
      <xdr:rowOff>71469</xdr:rowOff>
    </xdr:from>
    <xdr:to>
      <xdr:col>21</xdr:col>
      <xdr:colOff>218894</xdr:colOff>
      <xdr:row>27</xdr:row>
      <xdr:rowOff>13681</xdr:rowOff>
    </xdr:to>
    <xdr:sp macro="" textlink="">
      <xdr:nvSpPr>
        <xdr:cNvPr id="39" name="Oval 41">
          <a:extLst>
            <a:ext uri="{FF2B5EF4-FFF2-40B4-BE49-F238E27FC236}">
              <a16:creationId xmlns:a16="http://schemas.microsoft.com/office/drawing/2014/main" id="{00000000-0008-0000-0000-000027000000}"/>
            </a:ext>
          </a:extLst>
        </xdr:cNvPr>
        <xdr:cNvSpPr>
          <a:spLocks noChangeArrowheads="1"/>
        </xdr:cNvSpPr>
      </xdr:nvSpPr>
      <xdr:spPr bwMode="auto">
        <a:xfrm>
          <a:off x="12430552" y="5532469"/>
          <a:ext cx="192009" cy="132712"/>
        </a:xfrm>
        <a:prstGeom prst="ellipse">
          <a:avLst/>
        </a:prstGeom>
        <a:solidFill>
          <a:srgbClr val="00B050"/>
        </a:solidFill>
        <a:ln w="0">
          <a:solidFill>
            <a:srgbClr val="000000"/>
          </a:solidFill>
          <a:prstDash val="solid"/>
          <a:round/>
          <a:headEnd/>
          <a:tailEnd/>
        </a:ln>
      </xdr:spPr>
    </xdr:sp>
    <xdr:clientData/>
  </xdr:twoCellAnchor>
  <xdr:twoCellAnchor>
    <xdr:from>
      <xdr:col>21</xdr:col>
      <xdr:colOff>26885</xdr:colOff>
      <xdr:row>26</xdr:row>
      <xdr:rowOff>71469</xdr:rowOff>
    </xdr:from>
    <xdr:to>
      <xdr:col>21</xdr:col>
      <xdr:colOff>218894</xdr:colOff>
      <xdr:row>27</xdr:row>
      <xdr:rowOff>13681</xdr:rowOff>
    </xdr:to>
    <xdr:sp macro="" textlink="">
      <xdr:nvSpPr>
        <xdr:cNvPr id="40" name="Oval 42">
          <a:extLst>
            <a:ext uri="{FF2B5EF4-FFF2-40B4-BE49-F238E27FC236}">
              <a16:creationId xmlns:a16="http://schemas.microsoft.com/office/drawing/2014/main" id="{00000000-0008-0000-0000-000028000000}"/>
            </a:ext>
          </a:extLst>
        </xdr:cNvPr>
        <xdr:cNvSpPr>
          <a:spLocks noChangeArrowheads="1"/>
        </xdr:cNvSpPr>
      </xdr:nvSpPr>
      <xdr:spPr bwMode="auto">
        <a:xfrm>
          <a:off x="12430552" y="5532469"/>
          <a:ext cx="192009" cy="132712"/>
        </a:xfrm>
        <a:prstGeom prst="ellipse">
          <a:avLst/>
        </a:prstGeom>
        <a:noFill/>
        <a:ln w="9525" cap="flat">
          <a:solidFill>
            <a:srgbClr val="00B050"/>
          </a:solidFill>
          <a:prstDash val="solid"/>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309252</xdr:colOff>
      <xdr:row>23</xdr:row>
      <xdr:rowOff>89527</xdr:rowOff>
    </xdr:from>
    <xdr:to>
      <xdr:col>23</xdr:col>
      <xdr:colOff>547133</xdr:colOff>
      <xdr:row>24</xdr:row>
      <xdr:rowOff>164927</xdr:rowOff>
    </xdr:to>
    <xdr:sp macro="" textlink="">
      <xdr:nvSpPr>
        <xdr:cNvPr id="41" name="Rectangle 43">
          <a:extLst>
            <a:ext uri="{FF2B5EF4-FFF2-40B4-BE49-F238E27FC236}">
              <a16:creationId xmlns:a16="http://schemas.microsoft.com/office/drawing/2014/main" id="{00000000-0008-0000-0000-000029000000}"/>
            </a:ext>
          </a:extLst>
        </xdr:cNvPr>
        <xdr:cNvSpPr>
          <a:spLocks noChangeArrowheads="1"/>
        </xdr:cNvSpPr>
      </xdr:nvSpPr>
      <xdr:spPr bwMode="auto">
        <a:xfrm>
          <a:off x="12712919" y="4968444"/>
          <a:ext cx="1592547" cy="276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sz="1400" b="0" i="0" u="none" strike="noStrike" baseline="0">
              <a:solidFill>
                <a:srgbClr val="0070C0"/>
              </a:solidFill>
              <a:latin typeface="Calibri"/>
              <a:cs typeface="Calibri"/>
            </a:rPr>
            <a:t>Input module only</a:t>
          </a:r>
        </a:p>
      </xdr:txBody>
    </xdr:sp>
    <xdr:clientData/>
  </xdr:twoCellAnchor>
  <xdr:twoCellAnchor>
    <xdr:from>
      <xdr:col>21</xdr:col>
      <xdr:colOff>309252</xdr:colOff>
      <xdr:row>24</xdr:row>
      <xdr:rowOff>142808</xdr:rowOff>
    </xdr:from>
    <xdr:to>
      <xdr:col>24</xdr:col>
      <xdr:colOff>468416</xdr:colOff>
      <xdr:row>26</xdr:row>
      <xdr:rowOff>49350</xdr:rowOff>
    </xdr:to>
    <xdr:sp macro="" textlink="">
      <xdr:nvSpPr>
        <xdr:cNvPr id="42" name="Rectangle 44">
          <a:extLst>
            <a:ext uri="{FF2B5EF4-FFF2-40B4-BE49-F238E27FC236}">
              <a16:creationId xmlns:a16="http://schemas.microsoft.com/office/drawing/2014/main" id="{00000000-0008-0000-0000-00002A000000}"/>
            </a:ext>
          </a:extLst>
        </xdr:cNvPr>
        <xdr:cNvSpPr>
          <a:spLocks noChangeArrowheads="1"/>
        </xdr:cNvSpPr>
      </xdr:nvSpPr>
      <xdr:spPr bwMode="auto">
        <a:xfrm>
          <a:off x="12712919" y="5222808"/>
          <a:ext cx="2191164" cy="287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sz="1400" b="0" i="0" u="none" strike="noStrike" baseline="0">
              <a:solidFill>
                <a:srgbClr val="7030A0"/>
              </a:solidFill>
              <a:latin typeface="Calibri"/>
              <a:cs typeface="Calibri"/>
            </a:rPr>
            <a:t>Input and output module</a:t>
          </a:r>
        </a:p>
      </xdr:txBody>
    </xdr:sp>
    <xdr:clientData/>
  </xdr:twoCellAnchor>
  <xdr:twoCellAnchor>
    <xdr:from>
      <xdr:col>21</xdr:col>
      <xdr:colOff>309252</xdr:colOff>
      <xdr:row>25</xdr:row>
      <xdr:rowOff>184554</xdr:rowOff>
    </xdr:from>
    <xdr:to>
      <xdr:col>24</xdr:col>
      <xdr:colOff>73103</xdr:colOff>
      <xdr:row>27</xdr:row>
      <xdr:rowOff>57918</xdr:rowOff>
    </xdr:to>
    <xdr:sp macro="" textlink="">
      <xdr:nvSpPr>
        <xdr:cNvPr id="43" name="Rectangle 45">
          <a:extLst>
            <a:ext uri="{FF2B5EF4-FFF2-40B4-BE49-F238E27FC236}">
              <a16:creationId xmlns:a16="http://schemas.microsoft.com/office/drawing/2014/main" id="{00000000-0008-0000-0000-00002B000000}"/>
            </a:ext>
          </a:extLst>
        </xdr:cNvPr>
        <xdr:cNvSpPr>
          <a:spLocks noChangeArrowheads="1"/>
        </xdr:cNvSpPr>
      </xdr:nvSpPr>
      <xdr:spPr bwMode="auto">
        <a:xfrm>
          <a:off x="12712919" y="5455054"/>
          <a:ext cx="1795851" cy="25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sz="1400" b="0" i="0" u="none" strike="noStrike" baseline="0">
              <a:solidFill>
                <a:srgbClr val="00B050"/>
              </a:solidFill>
              <a:latin typeface="Calibri"/>
              <a:cs typeface="Calibri"/>
            </a:rPr>
            <a:t>Output module only </a:t>
          </a:r>
        </a:p>
      </xdr:txBody>
    </xdr:sp>
    <xdr:clientData/>
  </xdr:twoCellAnchor>
  <xdr:twoCellAnchor>
    <xdr:from>
      <xdr:col>14</xdr:col>
      <xdr:colOff>312092</xdr:colOff>
      <xdr:row>7</xdr:row>
      <xdr:rowOff>85725</xdr:rowOff>
    </xdr:from>
    <xdr:to>
      <xdr:col>19</xdr:col>
      <xdr:colOff>2512</xdr:colOff>
      <xdr:row>9</xdr:row>
      <xdr:rowOff>182857</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7797155" y="1657350"/>
          <a:ext cx="2468545" cy="478132"/>
        </a:xfrm>
        <a:prstGeom prst="rect">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Intersection types selected</a:t>
          </a:r>
        </a:p>
        <a:p>
          <a:pPr algn="ctr"/>
          <a:r>
            <a:rPr lang="en-US" sz="1100"/>
            <a:t>Movement delays</a:t>
          </a:r>
          <a:r>
            <a:rPr lang="en-US" sz="1100" baseline="0"/>
            <a:t> compared </a:t>
          </a:r>
          <a:endParaRPr lang="en-US" sz="1100"/>
        </a:p>
      </xdr:txBody>
    </xdr:sp>
    <xdr:clientData/>
  </xdr:twoCellAnchor>
  <xdr:twoCellAnchor>
    <xdr:from>
      <xdr:col>4</xdr:col>
      <xdr:colOff>1510495</xdr:colOff>
      <xdr:row>45</xdr:row>
      <xdr:rowOff>121911</xdr:rowOff>
    </xdr:from>
    <xdr:to>
      <xdr:col>4</xdr:col>
      <xdr:colOff>2379002</xdr:colOff>
      <xdr:row>47</xdr:row>
      <xdr:rowOff>83697</xdr:rowOff>
    </xdr:to>
    <xdr:sp macro="" textlink="">
      <xdr:nvSpPr>
        <xdr:cNvPr id="50" name="TextBox 1">
          <a:extLst>
            <a:ext uri="{FF2B5EF4-FFF2-40B4-BE49-F238E27FC236}">
              <a16:creationId xmlns:a16="http://schemas.microsoft.com/office/drawing/2014/main" id="{00000000-0008-0000-0000-000032000000}"/>
            </a:ext>
          </a:extLst>
        </xdr:cNvPr>
        <xdr:cNvSpPr txBox="1"/>
      </xdr:nvSpPr>
      <xdr:spPr>
        <a:xfrm>
          <a:off x="2062945" y="3912861"/>
          <a:ext cx="868507" cy="3618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a:solidFill>
                <a:schemeClr val="bg1"/>
              </a:solidFill>
            </a:rPr>
            <a:t>MAJOR</a:t>
          </a:r>
        </a:p>
      </xdr:txBody>
    </xdr:sp>
    <xdr:clientData/>
  </xdr:twoCellAnchor>
  <xdr:twoCellAnchor>
    <xdr:from>
      <xdr:col>4</xdr:col>
      <xdr:colOff>1147423</xdr:colOff>
      <xdr:row>50</xdr:row>
      <xdr:rowOff>55702</xdr:rowOff>
    </xdr:from>
    <xdr:to>
      <xdr:col>4</xdr:col>
      <xdr:colOff>1427628</xdr:colOff>
      <xdr:row>54</xdr:row>
      <xdr:rowOff>162209</xdr:rowOff>
    </xdr:to>
    <xdr:sp macro="" textlink="">
      <xdr:nvSpPr>
        <xdr:cNvPr id="51" name="TextBox 1">
          <a:extLst>
            <a:ext uri="{FF2B5EF4-FFF2-40B4-BE49-F238E27FC236}">
              <a16:creationId xmlns:a16="http://schemas.microsoft.com/office/drawing/2014/main" id="{00000000-0008-0000-0000-000033000000}"/>
            </a:ext>
          </a:extLst>
        </xdr:cNvPr>
        <xdr:cNvSpPr txBox="1"/>
      </xdr:nvSpPr>
      <xdr:spPr>
        <a:xfrm rot="16200000">
          <a:off x="1405722" y="5121878"/>
          <a:ext cx="868507"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rPr>
            <a:t>MINOR</a:t>
          </a:r>
        </a:p>
      </xdr:txBody>
    </xdr:sp>
    <xdr:clientData/>
  </xdr:twoCellAnchor>
  <xdr:oneCellAnchor>
    <xdr:from>
      <xdr:col>4</xdr:col>
      <xdr:colOff>285750</xdr:colOff>
      <xdr:row>21</xdr:row>
      <xdr:rowOff>38070</xdr:rowOff>
    </xdr:from>
    <xdr:ext cx="2268638" cy="2565186"/>
    <xdr:pic>
      <xdr:nvPicPr>
        <xdr:cNvPr id="55" name="Picture 54">
          <a:extLst>
            <a:ext uri="{FF2B5EF4-FFF2-40B4-BE49-F238E27FC236}">
              <a16:creationId xmlns:a16="http://schemas.microsoft.com/office/drawing/2014/main" id="{00000000-0008-0000-0000-00003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09800" y="3800445"/>
          <a:ext cx="2268638" cy="2565186"/>
        </a:xfrm>
        <a:prstGeom prst="rect">
          <a:avLst/>
        </a:prstGeom>
      </xdr:spPr>
    </xdr:pic>
    <xdr:clientData/>
  </xdr:oneCellAnchor>
  <xdr:twoCellAnchor>
    <xdr:from>
      <xdr:col>3</xdr:col>
      <xdr:colOff>1390649</xdr:colOff>
      <xdr:row>26</xdr:row>
      <xdr:rowOff>95265</xdr:rowOff>
    </xdr:from>
    <xdr:to>
      <xdr:col>4</xdr:col>
      <xdr:colOff>287294</xdr:colOff>
      <xdr:row>28</xdr:row>
      <xdr:rowOff>159108</xdr:rowOff>
    </xdr:to>
    <xdr:sp macro="" textlink="">
      <xdr:nvSpPr>
        <xdr:cNvPr id="56" name="Oval 55">
          <a:extLst>
            <a:ext uri="{FF2B5EF4-FFF2-40B4-BE49-F238E27FC236}">
              <a16:creationId xmlns:a16="http://schemas.microsoft.com/office/drawing/2014/main" id="{00000000-0008-0000-0000-000038000000}"/>
            </a:ext>
          </a:extLst>
        </xdr:cNvPr>
        <xdr:cNvSpPr/>
      </xdr:nvSpPr>
      <xdr:spPr>
        <a:xfrm>
          <a:off x="1790699" y="4857765"/>
          <a:ext cx="420645" cy="454368"/>
        </a:xfrm>
        <a:prstGeom prst="ellipse">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rgbClr val="FF0000"/>
              </a:solidFill>
            </a:rPr>
            <a:t>6</a:t>
          </a:r>
        </a:p>
      </xdr:txBody>
    </xdr:sp>
    <xdr:clientData/>
  </xdr:twoCellAnchor>
  <xdr:twoCellAnchor>
    <xdr:from>
      <xdr:col>5</xdr:col>
      <xdr:colOff>592164</xdr:colOff>
      <xdr:row>18</xdr:row>
      <xdr:rowOff>171450</xdr:rowOff>
    </xdr:from>
    <xdr:to>
      <xdr:col>6</xdr:col>
      <xdr:colOff>476250</xdr:colOff>
      <xdr:row>21</xdr:row>
      <xdr:rowOff>35268</xdr:rowOff>
    </xdr:to>
    <xdr:sp macro="" textlink="">
      <xdr:nvSpPr>
        <xdr:cNvPr id="57" name="Oval 56">
          <a:extLst>
            <a:ext uri="{FF2B5EF4-FFF2-40B4-BE49-F238E27FC236}">
              <a16:creationId xmlns:a16="http://schemas.microsoft.com/office/drawing/2014/main" id="{00000000-0008-0000-0000-000039000000}"/>
            </a:ext>
          </a:extLst>
        </xdr:cNvPr>
        <xdr:cNvSpPr/>
      </xdr:nvSpPr>
      <xdr:spPr>
        <a:xfrm flipH="1">
          <a:off x="3125814" y="3333750"/>
          <a:ext cx="493686" cy="463893"/>
        </a:xfrm>
        <a:prstGeom prst="ellipse">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rgbClr val="FF0000"/>
              </a:solidFill>
            </a:rPr>
            <a:t>8</a:t>
          </a:r>
        </a:p>
      </xdr:txBody>
    </xdr:sp>
    <xdr:clientData/>
  </xdr:twoCellAnchor>
  <xdr:twoCellAnchor>
    <xdr:from>
      <xdr:col>6</xdr:col>
      <xdr:colOff>586569</xdr:colOff>
      <xdr:row>24</xdr:row>
      <xdr:rowOff>55236</xdr:rowOff>
    </xdr:from>
    <xdr:to>
      <xdr:col>8</xdr:col>
      <xdr:colOff>314324</xdr:colOff>
      <xdr:row>25</xdr:row>
      <xdr:rowOff>197997</xdr:rowOff>
    </xdr:to>
    <xdr:sp macro="" textlink="">
      <xdr:nvSpPr>
        <xdr:cNvPr id="58" name="TextBox 1">
          <a:extLst>
            <a:ext uri="{FF2B5EF4-FFF2-40B4-BE49-F238E27FC236}">
              <a16:creationId xmlns:a16="http://schemas.microsoft.com/office/drawing/2014/main" id="{00000000-0008-0000-0000-00003A000000}"/>
            </a:ext>
          </a:extLst>
        </xdr:cNvPr>
        <xdr:cNvSpPr txBox="1"/>
      </xdr:nvSpPr>
      <xdr:spPr>
        <a:xfrm>
          <a:off x="3548844" y="4417686"/>
          <a:ext cx="946955"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a:solidFill>
                <a:schemeClr val="bg1"/>
              </a:solidFill>
            </a:rPr>
            <a:t>MAJOR</a:t>
          </a:r>
        </a:p>
      </xdr:txBody>
    </xdr:sp>
    <xdr:clientData/>
  </xdr:twoCellAnchor>
  <xdr:twoCellAnchor>
    <xdr:from>
      <xdr:col>6</xdr:col>
      <xdr:colOff>258827</xdr:colOff>
      <xdr:row>30</xdr:row>
      <xdr:rowOff>20374</xdr:rowOff>
    </xdr:from>
    <xdr:to>
      <xdr:col>6</xdr:col>
      <xdr:colOff>258827</xdr:colOff>
      <xdr:row>34</xdr:row>
      <xdr:rowOff>126879</xdr:rowOff>
    </xdr:to>
    <xdr:sp macro="" textlink="">
      <xdr:nvSpPr>
        <xdr:cNvPr id="59" name="TextBox 1">
          <a:extLst>
            <a:ext uri="{FF2B5EF4-FFF2-40B4-BE49-F238E27FC236}">
              <a16:creationId xmlns:a16="http://schemas.microsoft.com/office/drawing/2014/main" id="{00000000-0008-0000-0000-00003B000000}"/>
            </a:ext>
          </a:extLst>
        </xdr:cNvPr>
        <xdr:cNvSpPr txBox="1"/>
      </xdr:nvSpPr>
      <xdr:spPr>
        <a:xfrm rot="16200000">
          <a:off x="2967824" y="5988652"/>
          <a:ext cx="868505" cy="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rPr>
            <a:t>MINOR</a:t>
          </a:r>
        </a:p>
      </xdr:txBody>
    </xdr:sp>
    <xdr:clientData/>
  </xdr:twoCellAnchor>
  <xdr:twoCellAnchor>
    <xdr:from>
      <xdr:col>8</xdr:col>
      <xdr:colOff>101679</xdr:colOff>
      <xdr:row>26</xdr:row>
      <xdr:rowOff>142875</xdr:rowOff>
    </xdr:from>
    <xdr:to>
      <xdr:col>8</xdr:col>
      <xdr:colOff>561906</xdr:colOff>
      <xdr:row>29</xdr:row>
      <xdr:rowOff>23441</xdr:rowOff>
    </xdr:to>
    <xdr:sp macro="" textlink="">
      <xdr:nvSpPr>
        <xdr:cNvPr id="60" name="Oval 59">
          <a:extLst>
            <a:ext uri="{FF2B5EF4-FFF2-40B4-BE49-F238E27FC236}">
              <a16:creationId xmlns:a16="http://schemas.microsoft.com/office/drawing/2014/main" id="{00000000-0008-0000-0000-00003C000000}"/>
            </a:ext>
          </a:extLst>
        </xdr:cNvPr>
        <xdr:cNvSpPr/>
      </xdr:nvSpPr>
      <xdr:spPr>
        <a:xfrm>
          <a:off x="4464129" y="4905375"/>
          <a:ext cx="460227" cy="461591"/>
        </a:xfrm>
        <a:prstGeom prst="ellipse">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rgbClr val="FF0000"/>
              </a:solidFill>
            </a:rPr>
            <a:t>2</a:t>
          </a:r>
        </a:p>
      </xdr:txBody>
    </xdr:sp>
    <xdr:clientData/>
  </xdr:twoCellAnchor>
  <xdr:twoCellAnchor>
    <xdr:from>
      <xdr:col>5</xdr:col>
      <xdr:colOff>514350</xdr:colOff>
      <xdr:row>34</xdr:row>
      <xdr:rowOff>66783</xdr:rowOff>
    </xdr:from>
    <xdr:to>
      <xdr:col>6</xdr:col>
      <xdr:colOff>382545</xdr:colOff>
      <xdr:row>36</xdr:row>
      <xdr:rowOff>126439</xdr:rowOff>
    </xdr:to>
    <xdr:sp macro="" textlink="">
      <xdr:nvSpPr>
        <xdr:cNvPr id="61" name="Oval 60">
          <a:extLst>
            <a:ext uri="{FF2B5EF4-FFF2-40B4-BE49-F238E27FC236}">
              <a16:creationId xmlns:a16="http://schemas.microsoft.com/office/drawing/2014/main" id="{00000000-0008-0000-0000-00003D000000}"/>
            </a:ext>
          </a:extLst>
        </xdr:cNvPr>
        <xdr:cNvSpPr/>
      </xdr:nvSpPr>
      <xdr:spPr>
        <a:xfrm>
          <a:off x="3048000" y="6362808"/>
          <a:ext cx="477795" cy="440656"/>
        </a:xfrm>
        <a:prstGeom prst="ellipse">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rgbClr val="FF0000"/>
              </a:solidFill>
            </a:rPr>
            <a:t>4</a:t>
          </a:r>
        </a:p>
      </xdr:txBody>
    </xdr:sp>
    <xdr:clientData/>
  </xdr:twoCellAnchor>
  <xdr:twoCellAnchor>
    <xdr:from>
      <xdr:col>7</xdr:col>
      <xdr:colOff>219075</xdr:colOff>
      <xdr:row>31</xdr:row>
      <xdr:rowOff>180975</xdr:rowOff>
    </xdr:from>
    <xdr:to>
      <xdr:col>7</xdr:col>
      <xdr:colOff>457200</xdr:colOff>
      <xdr:row>34</xdr:row>
      <xdr:rowOff>66675</xdr:rowOff>
    </xdr:to>
    <xdr:sp macro="" textlink="">
      <xdr:nvSpPr>
        <xdr:cNvPr id="63" name="Curved Left Arrow 62">
          <a:extLst>
            <a:ext uri="{FF2B5EF4-FFF2-40B4-BE49-F238E27FC236}">
              <a16:creationId xmlns:a16="http://schemas.microsoft.com/office/drawing/2014/main" id="{00000000-0008-0000-0000-00003F000000}"/>
            </a:ext>
          </a:extLst>
        </xdr:cNvPr>
        <xdr:cNvSpPr/>
      </xdr:nvSpPr>
      <xdr:spPr>
        <a:xfrm rot="2073714">
          <a:off x="3790950" y="5905500"/>
          <a:ext cx="238125" cy="457200"/>
        </a:xfrm>
        <a:prstGeom prst="curved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6</xdr:col>
      <xdr:colOff>208975</xdr:colOff>
      <xdr:row>30</xdr:row>
      <xdr:rowOff>801</xdr:rowOff>
    </xdr:from>
    <xdr:to>
      <xdr:col>6</xdr:col>
      <xdr:colOff>520471</xdr:colOff>
      <xdr:row>34</xdr:row>
      <xdr:rowOff>185756</xdr:rowOff>
    </xdr:to>
    <xdr:sp macro="" textlink="">
      <xdr:nvSpPr>
        <xdr:cNvPr id="65" name="TextBox 1">
          <a:extLst>
            <a:ext uri="{FF2B5EF4-FFF2-40B4-BE49-F238E27FC236}">
              <a16:creationId xmlns:a16="http://schemas.microsoft.com/office/drawing/2014/main" id="{00000000-0008-0000-0000-000041000000}"/>
            </a:ext>
          </a:extLst>
        </xdr:cNvPr>
        <xdr:cNvSpPr txBox="1"/>
      </xdr:nvSpPr>
      <xdr:spPr>
        <a:xfrm rot="16200000">
          <a:off x="2853520" y="5852556"/>
          <a:ext cx="946955"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rPr>
            <a:t>MINOR</a:t>
          </a:r>
        </a:p>
      </xdr:txBody>
    </xdr:sp>
    <xdr:clientData/>
  </xdr:twoCellAnchor>
  <xdr:twoCellAnchor>
    <xdr:from>
      <xdr:col>18</xdr:col>
      <xdr:colOff>126999</xdr:colOff>
      <xdr:row>11</xdr:row>
      <xdr:rowOff>119063</xdr:rowOff>
    </xdr:from>
    <xdr:to>
      <xdr:col>19</xdr:col>
      <xdr:colOff>214311</xdr:colOff>
      <xdr:row>11</xdr:row>
      <xdr:rowOff>119064</xdr:rowOff>
    </xdr:to>
    <xdr:cxnSp macro="">
      <xdr:nvCxnSpPr>
        <xdr:cNvPr id="72" name="Straight Arrow Connector 71">
          <a:extLst>
            <a:ext uri="{FF2B5EF4-FFF2-40B4-BE49-F238E27FC236}">
              <a16:creationId xmlns:a16="http://schemas.microsoft.com/office/drawing/2014/main" id="{00000000-0008-0000-0000-000048000000}"/>
            </a:ext>
          </a:extLst>
        </xdr:cNvPr>
        <xdr:cNvCxnSpPr/>
      </xdr:nvCxnSpPr>
      <xdr:spPr>
        <a:xfrm flipH="1">
          <a:off x="10136187" y="2468563"/>
          <a:ext cx="579437" cy="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259738</xdr:colOff>
      <xdr:row>12</xdr:row>
      <xdr:rowOff>50940</xdr:rowOff>
    </xdr:from>
    <xdr:to>
      <xdr:col>19</xdr:col>
      <xdr:colOff>207792</xdr:colOff>
      <xdr:row>18</xdr:row>
      <xdr:rowOff>98397</xdr:rowOff>
    </xdr:to>
    <xdr:cxnSp macro="">
      <xdr:nvCxnSpPr>
        <xdr:cNvPr id="75" name="Elbow Connector 74">
          <a:extLst>
            <a:ext uri="{FF2B5EF4-FFF2-40B4-BE49-F238E27FC236}">
              <a16:creationId xmlns:a16="http://schemas.microsoft.com/office/drawing/2014/main" id="{00000000-0008-0000-0000-00004B000000}"/>
            </a:ext>
          </a:extLst>
        </xdr:cNvPr>
        <xdr:cNvCxnSpPr>
          <a:stCxn id="6" idx="3"/>
          <a:endCxn id="4" idx="7"/>
        </xdr:cNvCxnSpPr>
      </xdr:nvCxnSpPr>
      <xdr:spPr>
        <a:xfrm flipV="1">
          <a:off x="11006357" y="2687702"/>
          <a:ext cx="522578" cy="1269076"/>
        </a:xfrm>
        <a:prstGeom prst="bentConnector3">
          <a:avLst>
            <a:gd name="adj1" fmla="val 30952"/>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259738</xdr:colOff>
      <xdr:row>15</xdr:row>
      <xdr:rowOff>27552</xdr:rowOff>
    </xdr:from>
    <xdr:to>
      <xdr:col>20</xdr:col>
      <xdr:colOff>173370</xdr:colOff>
      <xdr:row>18</xdr:row>
      <xdr:rowOff>98397</xdr:rowOff>
    </xdr:to>
    <xdr:cxnSp macro="">
      <xdr:nvCxnSpPr>
        <xdr:cNvPr id="78" name="Elbow Connector 77">
          <a:extLst>
            <a:ext uri="{FF2B5EF4-FFF2-40B4-BE49-F238E27FC236}">
              <a16:creationId xmlns:a16="http://schemas.microsoft.com/office/drawing/2014/main" id="{00000000-0008-0000-0000-00004E000000}"/>
            </a:ext>
          </a:extLst>
        </xdr:cNvPr>
        <xdr:cNvCxnSpPr>
          <a:stCxn id="6" idx="3"/>
          <a:endCxn id="10" idx="7"/>
        </xdr:cNvCxnSpPr>
      </xdr:nvCxnSpPr>
      <xdr:spPr>
        <a:xfrm flipV="1">
          <a:off x="11006357" y="3281171"/>
          <a:ext cx="820775" cy="675607"/>
        </a:xfrm>
        <a:prstGeom prst="bentConnector3">
          <a:avLst>
            <a:gd name="adj1" fmla="val 19837"/>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259738</xdr:colOff>
      <xdr:row>17</xdr:row>
      <xdr:rowOff>101627</xdr:rowOff>
    </xdr:from>
    <xdr:to>
      <xdr:col>20</xdr:col>
      <xdr:colOff>195959</xdr:colOff>
      <xdr:row>18</xdr:row>
      <xdr:rowOff>98397</xdr:rowOff>
    </xdr:to>
    <xdr:cxnSp macro="">
      <xdr:nvCxnSpPr>
        <xdr:cNvPr id="82" name="Elbow Connector 81">
          <a:extLst>
            <a:ext uri="{FF2B5EF4-FFF2-40B4-BE49-F238E27FC236}">
              <a16:creationId xmlns:a16="http://schemas.microsoft.com/office/drawing/2014/main" id="{00000000-0008-0000-0000-000052000000}"/>
            </a:ext>
          </a:extLst>
        </xdr:cNvPr>
        <xdr:cNvCxnSpPr>
          <a:stCxn id="6" idx="3"/>
          <a:endCxn id="13" idx="0"/>
        </xdr:cNvCxnSpPr>
      </xdr:nvCxnSpPr>
      <xdr:spPr>
        <a:xfrm flipV="1">
          <a:off x="11006357" y="3754389"/>
          <a:ext cx="843364" cy="202389"/>
        </a:xfrm>
        <a:prstGeom prst="bentConnector5">
          <a:avLst>
            <a:gd name="adj1" fmla="val 19166"/>
            <a:gd name="adj2" fmla="val 98216"/>
            <a:gd name="adj3" fmla="val 6687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495633</xdr:colOff>
      <xdr:row>12</xdr:row>
      <xdr:rowOff>96762</xdr:rowOff>
    </xdr:from>
    <xdr:to>
      <xdr:col>22</xdr:col>
      <xdr:colOff>495905</xdr:colOff>
      <xdr:row>13</xdr:row>
      <xdr:rowOff>114905</xdr:rowOff>
    </xdr:to>
    <xdr:cxnSp macro="">
      <xdr:nvCxnSpPr>
        <xdr:cNvPr id="90" name="Straight Arrow Connector 89">
          <a:extLst>
            <a:ext uri="{FF2B5EF4-FFF2-40B4-BE49-F238E27FC236}">
              <a16:creationId xmlns:a16="http://schemas.microsoft.com/office/drawing/2014/main" id="{00000000-0008-0000-0000-00005A000000}"/>
            </a:ext>
          </a:extLst>
        </xdr:cNvPr>
        <xdr:cNvCxnSpPr>
          <a:stCxn id="5" idx="2"/>
        </xdr:cNvCxnSpPr>
      </xdr:nvCxnSpPr>
      <xdr:spPr>
        <a:xfrm>
          <a:off x="13491966" y="2733524"/>
          <a:ext cx="272" cy="223762"/>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509794</xdr:colOff>
      <xdr:row>15</xdr:row>
      <xdr:rowOff>84668</xdr:rowOff>
    </xdr:from>
    <xdr:to>
      <xdr:col>22</xdr:col>
      <xdr:colOff>514048</xdr:colOff>
      <xdr:row>17</xdr:row>
      <xdr:rowOff>60476</xdr:rowOff>
    </xdr:to>
    <xdr:cxnSp macro="">
      <xdr:nvCxnSpPr>
        <xdr:cNvPr id="93" name="Straight Arrow Connector 92">
          <a:extLst>
            <a:ext uri="{FF2B5EF4-FFF2-40B4-BE49-F238E27FC236}">
              <a16:creationId xmlns:a16="http://schemas.microsoft.com/office/drawing/2014/main" id="{00000000-0008-0000-0000-00005D000000}"/>
            </a:ext>
          </a:extLst>
        </xdr:cNvPr>
        <xdr:cNvCxnSpPr/>
      </xdr:nvCxnSpPr>
      <xdr:spPr>
        <a:xfrm>
          <a:off x="13506127" y="3338287"/>
          <a:ext cx="4254" cy="37495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523119</xdr:colOff>
      <xdr:row>19</xdr:row>
      <xdr:rowOff>42333</xdr:rowOff>
    </xdr:from>
    <xdr:to>
      <xdr:col>22</xdr:col>
      <xdr:colOff>529166</xdr:colOff>
      <xdr:row>20</xdr:row>
      <xdr:rowOff>200932</xdr:rowOff>
    </xdr:to>
    <xdr:cxnSp macro="">
      <xdr:nvCxnSpPr>
        <xdr:cNvPr id="98" name="Straight Arrow Connector 97">
          <a:extLst>
            <a:ext uri="{FF2B5EF4-FFF2-40B4-BE49-F238E27FC236}">
              <a16:creationId xmlns:a16="http://schemas.microsoft.com/office/drawing/2014/main" id="{00000000-0008-0000-0000-000062000000}"/>
            </a:ext>
          </a:extLst>
        </xdr:cNvPr>
        <xdr:cNvCxnSpPr/>
      </xdr:nvCxnSpPr>
      <xdr:spPr>
        <a:xfrm>
          <a:off x="13519452" y="4106333"/>
          <a:ext cx="6047" cy="364218"/>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436</xdr:colOff>
      <xdr:row>12</xdr:row>
      <xdr:rowOff>50940</xdr:rowOff>
    </xdr:from>
    <xdr:to>
      <xdr:col>25</xdr:col>
      <xdr:colOff>265459</xdr:colOff>
      <xdr:row>21</xdr:row>
      <xdr:rowOff>14114</xdr:rowOff>
    </xdr:to>
    <xdr:cxnSp macro="">
      <xdr:nvCxnSpPr>
        <xdr:cNvPr id="104" name="Elbow Connector 103">
          <a:extLst>
            <a:ext uri="{FF2B5EF4-FFF2-40B4-BE49-F238E27FC236}">
              <a16:creationId xmlns:a16="http://schemas.microsoft.com/office/drawing/2014/main" id="{00000000-0008-0000-0000-000068000000}"/>
            </a:ext>
          </a:extLst>
        </xdr:cNvPr>
        <xdr:cNvCxnSpPr>
          <a:stCxn id="16" idx="3"/>
          <a:endCxn id="4" idx="4"/>
        </xdr:cNvCxnSpPr>
      </xdr:nvCxnSpPr>
      <xdr:spPr>
        <a:xfrm flipV="1">
          <a:off x="15010626" y="2687702"/>
          <a:ext cx="265023" cy="1837936"/>
        </a:xfrm>
        <a:prstGeom prst="bentConnector3">
          <a:avLst>
            <a:gd name="adj1" fmla="val 186257"/>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47625</xdr:colOff>
      <xdr:row>21</xdr:row>
      <xdr:rowOff>0</xdr:rowOff>
    </xdr:from>
    <xdr:to>
      <xdr:col>8</xdr:col>
      <xdr:colOff>103187</xdr:colOff>
      <xdr:row>24</xdr:row>
      <xdr:rowOff>7937</xdr:rowOff>
    </xdr:to>
    <xdr:pic>
      <xdr:nvPicPr>
        <xdr:cNvPr id="2" name="Picture 1" descr="North arrow | Free SV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1063" y="4365625"/>
          <a:ext cx="642937" cy="6429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2619375</xdr:colOff>
      <xdr:row>20</xdr:row>
      <xdr:rowOff>180974</xdr:rowOff>
    </xdr:from>
    <xdr:to>
      <xdr:col>3</xdr:col>
      <xdr:colOff>3124201</xdr:colOff>
      <xdr:row>23</xdr:row>
      <xdr:rowOff>28575</xdr:rowOff>
    </xdr:to>
    <xdr:sp macro="" textlink="">
      <xdr:nvSpPr>
        <xdr:cNvPr id="2" name="Oval 1">
          <a:extLst>
            <a:ext uri="{FF2B5EF4-FFF2-40B4-BE49-F238E27FC236}">
              <a16:creationId xmlns:a16="http://schemas.microsoft.com/office/drawing/2014/main" id="{00000000-0008-0000-0F00-000002000000}"/>
            </a:ext>
          </a:extLst>
        </xdr:cNvPr>
        <xdr:cNvSpPr/>
      </xdr:nvSpPr>
      <xdr:spPr>
        <a:xfrm>
          <a:off x="3590925" y="4010024"/>
          <a:ext cx="504826" cy="4762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390524</xdr:colOff>
      <xdr:row>29</xdr:row>
      <xdr:rowOff>209549</xdr:rowOff>
    </xdr:from>
    <xdr:to>
      <xdr:col>3</xdr:col>
      <xdr:colOff>847724</xdr:colOff>
      <xdr:row>32</xdr:row>
      <xdr:rowOff>85725</xdr:rowOff>
    </xdr:to>
    <xdr:sp macro="" textlink="">
      <xdr:nvSpPr>
        <xdr:cNvPr id="3" name="Oval 2">
          <a:extLst>
            <a:ext uri="{FF2B5EF4-FFF2-40B4-BE49-F238E27FC236}">
              <a16:creationId xmlns:a16="http://schemas.microsoft.com/office/drawing/2014/main" id="{00000000-0008-0000-0F00-000003000000}"/>
            </a:ext>
          </a:extLst>
        </xdr:cNvPr>
        <xdr:cNvSpPr/>
      </xdr:nvSpPr>
      <xdr:spPr>
        <a:xfrm>
          <a:off x="1543049" y="6038849"/>
          <a:ext cx="457200" cy="5238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190500</xdr:colOff>
      <xdr:row>20</xdr:row>
      <xdr:rowOff>180975</xdr:rowOff>
    </xdr:from>
    <xdr:to>
      <xdr:col>3</xdr:col>
      <xdr:colOff>38100</xdr:colOff>
      <xdr:row>23</xdr:row>
      <xdr:rowOff>1</xdr:rowOff>
    </xdr:to>
    <xdr:sp macro="" textlink="">
      <xdr:nvSpPr>
        <xdr:cNvPr id="4" name="Oval 3">
          <a:extLst>
            <a:ext uri="{FF2B5EF4-FFF2-40B4-BE49-F238E27FC236}">
              <a16:creationId xmlns:a16="http://schemas.microsoft.com/office/drawing/2014/main" id="{00000000-0008-0000-0F00-000004000000}"/>
            </a:ext>
          </a:extLst>
        </xdr:cNvPr>
        <xdr:cNvSpPr/>
      </xdr:nvSpPr>
      <xdr:spPr>
        <a:xfrm>
          <a:off x="733425" y="4029075"/>
          <a:ext cx="457200"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3</xdr:col>
      <xdr:colOff>390523</xdr:colOff>
      <xdr:row>16</xdr:row>
      <xdr:rowOff>95249</xdr:rowOff>
    </xdr:from>
    <xdr:to>
      <xdr:col>3</xdr:col>
      <xdr:colOff>857248</xdr:colOff>
      <xdr:row>18</xdr:row>
      <xdr:rowOff>133350</xdr:rowOff>
    </xdr:to>
    <xdr:sp macro="" textlink="">
      <xdr:nvSpPr>
        <xdr:cNvPr id="5" name="Oval 4">
          <a:extLst>
            <a:ext uri="{FF2B5EF4-FFF2-40B4-BE49-F238E27FC236}">
              <a16:creationId xmlns:a16="http://schemas.microsoft.com/office/drawing/2014/main" id="{00000000-0008-0000-0F00-000005000000}"/>
            </a:ext>
          </a:extLst>
        </xdr:cNvPr>
        <xdr:cNvSpPr/>
      </xdr:nvSpPr>
      <xdr:spPr>
        <a:xfrm>
          <a:off x="1543048" y="3009899"/>
          <a:ext cx="466725"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8</xdr:col>
      <xdr:colOff>133350</xdr:colOff>
      <xdr:row>65</xdr:row>
      <xdr:rowOff>57150</xdr:rowOff>
    </xdr:from>
    <xdr:to>
      <xdr:col>8</xdr:col>
      <xdr:colOff>1019175</xdr:colOff>
      <xdr:row>72</xdr:row>
      <xdr:rowOff>171450</xdr:rowOff>
    </xdr:to>
    <xdr:sp macro="" textlink="">
      <xdr:nvSpPr>
        <xdr:cNvPr id="6" name="Left Brace 5">
          <a:extLst>
            <a:ext uri="{FF2B5EF4-FFF2-40B4-BE49-F238E27FC236}">
              <a16:creationId xmlns:a16="http://schemas.microsoft.com/office/drawing/2014/main" id="{00000000-0008-0000-0F00-000006000000}"/>
            </a:ext>
          </a:extLst>
        </xdr:cNvPr>
        <xdr:cNvSpPr/>
      </xdr:nvSpPr>
      <xdr:spPr>
        <a:xfrm>
          <a:off x="6657975" y="13630275"/>
          <a:ext cx="885825" cy="159067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142875</xdr:colOff>
      <xdr:row>73</xdr:row>
      <xdr:rowOff>19050</xdr:rowOff>
    </xdr:from>
    <xdr:to>
      <xdr:col>8</xdr:col>
      <xdr:colOff>1171575</xdr:colOff>
      <xdr:row>81</xdr:row>
      <xdr:rowOff>9524</xdr:rowOff>
    </xdr:to>
    <xdr:sp macro="" textlink="">
      <xdr:nvSpPr>
        <xdr:cNvPr id="7" name="Left Brace 6">
          <a:extLst>
            <a:ext uri="{FF2B5EF4-FFF2-40B4-BE49-F238E27FC236}">
              <a16:creationId xmlns:a16="http://schemas.microsoft.com/office/drawing/2014/main" id="{00000000-0008-0000-0F00-000007000000}"/>
            </a:ext>
          </a:extLst>
        </xdr:cNvPr>
        <xdr:cNvSpPr/>
      </xdr:nvSpPr>
      <xdr:spPr>
        <a:xfrm>
          <a:off x="6667500" y="15278100"/>
          <a:ext cx="1028700" cy="1619249"/>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3</xdr:col>
      <xdr:colOff>1838324</xdr:colOff>
      <xdr:row>20</xdr:row>
      <xdr:rowOff>0</xdr:rowOff>
    </xdr:from>
    <xdr:to>
      <xdr:col>3</xdr:col>
      <xdr:colOff>2063377</xdr:colOff>
      <xdr:row>21</xdr:row>
      <xdr:rowOff>6436</xdr:rowOff>
    </xdr:to>
    <xdr:pic>
      <xdr:nvPicPr>
        <xdr:cNvPr id="8" name="Picture 7" descr="Glossy Traffic Signal Light by ab-cs-center on DeviantArt">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0849" y="3848100"/>
          <a:ext cx="225053" cy="254086"/>
        </a:xfrm>
        <a:prstGeom prst="rect">
          <a:avLst/>
        </a:prstGeom>
      </xdr:spPr>
    </xdr:pic>
    <xdr:clientData/>
  </xdr:twoCellAnchor>
  <xdr:twoCellAnchor editAs="oneCell">
    <xdr:from>
      <xdr:col>3</xdr:col>
      <xdr:colOff>105688</xdr:colOff>
      <xdr:row>18</xdr:row>
      <xdr:rowOff>161927</xdr:rowOff>
    </xdr:from>
    <xdr:to>
      <xdr:col>3</xdr:col>
      <xdr:colOff>2469798</xdr:colOff>
      <xdr:row>29</xdr:row>
      <xdr:rowOff>153342</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rot="16200000">
          <a:off x="1192023" y="3552342"/>
          <a:ext cx="2496490" cy="2364110"/>
        </a:xfrm>
        <a:prstGeom prst="rect">
          <a:avLst/>
        </a:prstGeom>
      </xdr:spPr>
    </xdr:pic>
    <xdr:clientData/>
  </xdr:twoCellAnchor>
  <xdr:twoCellAnchor>
    <xdr:from>
      <xdr:col>9</xdr:col>
      <xdr:colOff>666750</xdr:colOff>
      <xdr:row>20</xdr:row>
      <xdr:rowOff>133350</xdr:rowOff>
    </xdr:from>
    <xdr:to>
      <xdr:col>9</xdr:col>
      <xdr:colOff>1390650</xdr:colOff>
      <xdr:row>20</xdr:row>
      <xdr:rowOff>142875</xdr:rowOff>
    </xdr:to>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flipH="1">
          <a:off x="8582025" y="3962400"/>
          <a:ext cx="723900" cy="9525"/>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editAs="oneCell">
    <xdr:from>
      <xdr:col>2</xdr:col>
      <xdr:colOff>28576</xdr:colOff>
      <xdr:row>36</xdr:row>
      <xdr:rowOff>57150</xdr:rowOff>
    </xdr:from>
    <xdr:to>
      <xdr:col>4</xdr:col>
      <xdr:colOff>619125</xdr:colOff>
      <xdr:row>41</xdr:row>
      <xdr:rowOff>191784</xdr:rowOff>
    </xdr:to>
    <xdr:pic>
      <xdr:nvPicPr>
        <xdr:cNvPr id="11" name="Picture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1" y="7381875"/>
          <a:ext cx="4438649" cy="1268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1514476</xdr:colOff>
      <xdr:row>19</xdr:row>
      <xdr:rowOff>238125</xdr:rowOff>
    </xdr:from>
    <xdr:to>
      <xdr:col>3</xdr:col>
      <xdr:colOff>2505076</xdr:colOff>
      <xdr:row>24</xdr:row>
      <xdr:rowOff>19050</xdr:rowOff>
    </xdr:to>
    <xdr:sp macro="" textlink="">
      <xdr:nvSpPr>
        <xdr:cNvPr id="12" name="Oval 11">
          <a:extLst>
            <a:ext uri="{FF2B5EF4-FFF2-40B4-BE49-F238E27FC236}">
              <a16:creationId xmlns:a16="http://schemas.microsoft.com/office/drawing/2014/main" id="{00000000-0008-0000-0F00-00000C000000}"/>
            </a:ext>
          </a:extLst>
        </xdr:cNvPr>
        <xdr:cNvSpPr/>
      </xdr:nvSpPr>
      <xdr:spPr>
        <a:xfrm>
          <a:off x="2486026" y="3819525"/>
          <a:ext cx="990600" cy="847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57150</xdr:colOff>
      <xdr:row>67</xdr:row>
      <xdr:rowOff>195385</xdr:rowOff>
    </xdr:from>
    <xdr:to>
      <xdr:col>4</xdr:col>
      <xdr:colOff>0</xdr:colOff>
      <xdr:row>74</xdr:row>
      <xdr:rowOff>173910</xdr:rowOff>
    </xdr:to>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14187610"/>
          <a:ext cx="3933825" cy="146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1114424</xdr:colOff>
      <xdr:row>21</xdr:row>
      <xdr:rowOff>19050</xdr:rowOff>
    </xdr:from>
    <xdr:to>
      <xdr:col>9</xdr:col>
      <xdr:colOff>2486025</xdr:colOff>
      <xdr:row>23</xdr:row>
      <xdr:rowOff>38100</xdr:rowOff>
    </xdr:to>
    <xdr:sp macro="" textlink="">
      <xdr:nvSpPr>
        <xdr:cNvPr id="14" name="Rounded Rectangle 13">
          <a:extLst>
            <a:ext uri="{FF2B5EF4-FFF2-40B4-BE49-F238E27FC236}">
              <a16:creationId xmlns:a16="http://schemas.microsoft.com/office/drawing/2014/main" id="{00000000-0008-0000-0F00-00000E000000}"/>
            </a:ext>
          </a:extLst>
        </xdr:cNvPr>
        <xdr:cNvSpPr/>
      </xdr:nvSpPr>
      <xdr:spPr>
        <a:xfrm>
          <a:off x="6677024" y="4114800"/>
          <a:ext cx="2552701" cy="4000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xdr:col>
      <xdr:colOff>1885950</xdr:colOff>
      <xdr:row>26</xdr:row>
      <xdr:rowOff>76200</xdr:rowOff>
    </xdr:from>
    <xdr:ext cx="322717" cy="342786"/>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3038475" y="5267325"/>
          <a:ext cx="32271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Q</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2457449</xdr:colOff>
      <xdr:row>19</xdr:row>
      <xdr:rowOff>209549</xdr:rowOff>
    </xdr:from>
    <xdr:to>
      <xdr:col>3</xdr:col>
      <xdr:colOff>2952750</xdr:colOff>
      <xdr:row>22</xdr:row>
      <xdr:rowOff>0</xdr:rowOff>
    </xdr:to>
    <xdr:sp macro="" textlink="">
      <xdr:nvSpPr>
        <xdr:cNvPr id="2" name="Oval 1">
          <a:extLst>
            <a:ext uri="{FF2B5EF4-FFF2-40B4-BE49-F238E27FC236}">
              <a16:creationId xmlns:a16="http://schemas.microsoft.com/office/drawing/2014/main" id="{00000000-0008-0000-1000-000002000000}"/>
            </a:ext>
          </a:extLst>
        </xdr:cNvPr>
        <xdr:cNvSpPr/>
      </xdr:nvSpPr>
      <xdr:spPr>
        <a:xfrm>
          <a:off x="3228974" y="3800474"/>
          <a:ext cx="495301" cy="4762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1543049</xdr:colOff>
      <xdr:row>29</xdr:row>
      <xdr:rowOff>123824</xdr:rowOff>
    </xdr:from>
    <xdr:to>
      <xdr:col>3</xdr:col>
      <xdr:colOff>2000249</xdr:colOff>
      <xdr:row>32</xdr:row>
      <xdr:rowOff>0</xdr:rowOff>
    </xdr:to>
    <xdr:sp macro="" textlink="">
      <xdr:nvSpPr>
        <xdr:cNvPr id="3" name="Oval 2">
          <a:extLst>
            <a:ext uri="{FF2B5EF4-FFF2-40B4-BE49-F238E27FC236}">
              <a16:creationId xmlns:a16="http://schemas.microsoft.com/office/drawing/2014/main" id="{00000000-0008-0000-1000-000003000000}"/>
            </a:ext>
          </a:extLst>
        </xdr:cNvPr>
        <xdr:cNvSpPr/>
      </xdr:nvSpPr>
      <xdr:spPr>
        <a:xfrm>
          <a:off x="2314574" y="5915024"/>
          <a:ext cx="457200" cy="4857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228600</xdr:colOff>
      <xdr:row>20</xdr:row>
      <xdr:rowOff>19050</xdr:rowOff>
    </xdr:from>
    <xdr:to>
      <xdr:col>3</xdr:col>
      <xdr:colOff>76200</xdr:colOff>
      <xdr:row>22</xdr:row>
      <xdr:rowOff>28576</xdr:rowOff>
    </xdr:to>
    <xdr:sp macro="" textlink="">
      <xdr:nvSpPr>
        <xdr:cNvPr id="4" name="Oval 3">
          <a:extLst>
            <a:ext uri="{FF2B5EF4-FFF2-40B4-BE49-F238E27FC236}">
              <a16:creationId xmlns:a16="http://schemas.microsoft.com/office/drawing/2014/main" id="{00000000-0008-0000-1000-000004000000}"/>
            </a:ext>
          </a:extLst>
        </xdr:cNvPr>
        <xdr:cNvSpPr/>
      </xdr:nvSpPr>
      <xdr:spPr>
        <a:xfrm>
          <a:off x="390525" y="3857625"/>
          <a:ext cx="457200"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3</xdr:col>
      <xdr:colOff>1552573</xdr:colOff>
      <xdr:row>16</xdr:row>
      <xdr:rowOff>142874</xdr:rowOff>
    </xdr:from>
    <xdr:to>
      <xdr:col>3</xdr:col>
      <xdr:colOff>2019298</xdr:colOff>
      <xdr:row>18</xdr:row>
      <xdr:rowOff>180975</xdr:rowOff>
    </xdr:to>
    <xdr:sp macro="" textlink="">
      <xdr:nvSpPr>
        <xdr:cNvPr id="5" name="Oval 4">
          <a:extLst>
            <a:ext uri="{FF2B5EF4-FFF2-40B4-BE49-F238E27FC236}">
              <a16:creationId xmlns:a16="http://schemas.microsoft.com/office/drawing/2014/main" id="{00000000-0008-0000-1000-000005000000}"/>
            </a:ext>
          </a:extLst>
        </xdr:cNvPr>
        <xdr:cNvSpPr/>
      </xdr:nvSpPr>
      <xdr:spPr>
        <a:xfrm>
          <a:off x="2324098" y="3057524"/>
          <a:ext cx="466725"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8</xdr:col>
      <xdr:colOff>142875</xdr:colOff>
      <xdr:row>65</xdr:row>
      <xdr:rowOff>38100</xdr:rowOff>
    </xdr:from>
    <xdr:to>
      <xdr:col>8</xdr:col>
      <xdr:colOff>781050</xdr:colOff>
      <xdr:row>72</xdr:row>
      <xdr:rowOff>152400</xdr:rowOff>
    </xdr:to>
    <xdr:sp macro="" textlink="">
      <xdr:nvSpPr>
        <xdr:cNvPr id="6" name="Left Brace 5">
          <a:extLst>
            <a:ext uri="{FF2B5EF4-FFF2-40B4-BE49-F238E27FC236}">
              <a16:creationId xmlns:a16="http://schemas.microsoft.com/office/drawing/2014/main" id="{00000000-0008-0000-1000-000006000000}"/>
            </a:ext>
          </a:extLst>
        </xdr:cNvPr>
        <xdr:cNvSpPr/>
      </xdr:nvSpPr>
      <xdr:spPr>
        <a:xfrm>
          <a:off x="5638800" y="13458825"/>
          <a:ext cx="638175" cy="160020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257175</xdr:colOff>
      <xdr:row>73</xdr:row>
      <xdr:rowOff>0</xdr:rowOff>
    </xdr:from>
    <xdr:to>
      <xdr:col>8</xdr:col>
      <xdr:colOff>819149</xdr:colOff>
      <xdr:row>80</xdr:row>
      <xdr:rowOff>200024</xdr:rowOff>
    </xdr:to>
    <xdr:sp macro="" textlink="">
      <xdr:nvSpPr>
        <xdr:cNvPr id="7" name="Left Brace 6">
          <a:extLst>
            <a:ext uri="{FF2B5EF4-FFF2-40B4-BE49-F238E27FC236}">
              <a16:creationId xmlns:a16="http://schemas.microsoft.com/office/drawing/2014/main" id="{00000000-0008-0000-1000-000007000000}"/>
            </a:ext>
          </a:extLst>
        </xdr:cNvPr>
        <xdr:cNvSpPr/>
      </xdr:nvSpPr>
      <xdr:spPr>
        <a:xfrm>
          <a:off x="5753100" y="15116175"/>
          <a:ext cx="561974" cy="1619249"/>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3</xdr:col>
      <xdr:colOff>1838324</xdr:colOff>
      <xdr:row>20</xdr:row>
      <xdr:rowOff>0</xdr:rowOff>
    </xdr:from>
    <xdr:to>
      <xdr:col>3</xdr:col>
      <xdr:colOff>2063377</xdr:colOff>
      <xdr:row>21</xdr:row>
      <xdr:rowOff>6436</xdr:rowOff>
    </xdr:to>
    <xdr:pic>
      <xdr:nvPicPr>
        <xdr:cNvPr id="8" name="Picture 7" descr="Glossy Traffic Signal Light by ab-cs-center on DeviantArt">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9849" y="3848100"/>
          <a:ext cx="225053" cy="254086"/>
        </a:xfrm>
        <a:prstGeom prst="rect">
          <a:avLst/>
        </a:prstGeom>
      </xdr:spPr>
    </xdr:pic>
    <xdr:clientData/>
  </xdr:twoCellAnchor>
  <xdr:twoCellAnchor editAs="oneCell">
    <xdr:from>
      <xdr:col>3</xdr:col>
      <xdr:colOff>39498</xdr:colOff>
      <xdr:row>18</xdr:row>
      <xdr:rowOff>228117</xdr:rowOff>
    </xdr:from>
    <xdr:to>
      <xdr:col>3</xdr:col>
      <xdr:colOff>2535988</xdr:colOff>
      <xdr:row>29</xdr:row>
      <xdr:rowOff>125252</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811023" y="3552342"/>
          <a:ext cx="2496490" cy="2364110"/>
        </a:xfrm>
        <a:prstGeom prst="rect">
          <a:avLst/>
        </a:prstGeom>
      </xdr:spPr>
    </xdr:pic>
    <xdr:clientData/>
  </xdr:twoCellAnchor>
  <xdr:twoCellAnchor>
    <xdr:from>
      <xdr:col>9</xdr:col>
      <xdr:colOff>514350</xdr:colOff>
      <xdr:row>19</xdr:row>
      <xdr:rowOff>219078</xdr:rowOff>
    </xdr:from>
    <xdr:to>
      <xdr:col>9</xdr:col>
      <xdr:colOff>1219203</xdr:colOff>
      <xdr:row>19</xdr:row>
      <xdr:rowOff>228600</xdr:rowOff>
    </xdr:to>
    <xdr:cxnSp macro="">
      <xdr:nvCxnSpPr>
        <xdr:cNvPr id="10" name="Straight Arrow Connector 9">
          <a:extLst>
            <a:ext uri="{FF2B5EF4-FFF2-40B4-BE49-F238E27FC236}">
              <a16:creationId xmlns:a16="http://schemas.microsoft.com/office/drawing/2014/main" id="{00000000-0008-0000-1000-00000A000000}"/>
            </a:ext>
          </a:extLst>
        </xdr:cNvPr>
        <xdr:cNvCxnSpPr/>
      </xdr:nvCxnSpPr>
      <xdr:spPr>
        <a:xfrm flipH="1">
          <a:off x="8001000" y="3810003"/>
          <a:ext cx="704853" cy="9522"/>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editAs="oneCell">
    <xdr:from>
      <xdr:col>2</xdr:col>
      <xdr:colOff>426640</xdr:colOff>
      <xdr:row>38</xdr:row>
      <xdr:rowOff>69453</xdr:rowOff>
    </xdr:from>
    <xdr:to>
      <xdr:col>5</xdr:col>
      <xdr:colOff>165665</xdr:colOff>
      <xdr:row>44</xdr:row>
      <xdr:rowOff>11522</xdr:rowOff>
    </xdr:to>
    <xdr:pic>
      <xdr:nvPicPr>
        <xdr:cNvPr id="11" name="Picture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565" y="7727553"/>
          <a:ext cx="4444375" cy="1285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39687</xdr:colOff>
      <xdr:row>68</xdr:row>
      <xdr:rowOff>178593</xdr:rowOff>
    </xdr:from>
    <xdr:to>
      <xdr:col>3</xdr:col>
      <xdr:colOff>2995612</xdr:colOff>
      <xdr:row>73</xdr:row>
      <xdr:rowOff>145041</xdr:rowOff>
    </xdr:to>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612" y="14227968"/>
          <a:ext cx="3565525" cy="1033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1006474</xdr:colOff>
      <xdr:row>21</xdr:row>
      <xdr:rowOff>6350</xdr:rowOff>
    </xdr:from>
    <xdr:to>
      <xdr:col>9</xdr:col>
      <xdr:colOff>2406650</xdr:colOff>
      <xdr:row>23</xdr:row>
      <xdr:rowOff>25400</xdr:rowOff>
    </xdr:to>
    <xdr:sp macro="" textlink="">
      <xdr:nvSpPr>
        <xdr:cNvPr id="13" name="Rounded Rectangle 12">
          <a:extLst>
            <a:ext uri="{FF2B5EF4-FFF2-40B4-BE49-F238E27FC236}">
              <a16:creationId xmlns:a16="http://schemas.microsoft.com/office/drawing/2014/main" id="{00000000-0008-0000-1000-00000D000000}"/>
            </a:ext>
          </a:extLst>
        </xdr:cNvPr>
        <xdr:cNvSpPr/>
      </xdr:nvSpPr>
      <xdr:spPr>
        <a:xfrm>
          <a:off x="8499474" y="4171950"/>
          <a:ext cx="2428876" cy="4000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xdr:col>
      <xdr:colOff>352425</xdr:colOff>
      <xdr:row>26</xdr:row>
      <xdr:rowOff>0</xdr:rowOff>
    </xdr:from>
    <xdr:ext cx="322717" cy="342786"/>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123950" y="5191125"/>
          <a:ext cx="32271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Q</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xdr:col>
      <xdr:colOff>2381249</xdr:colOff>
      <xdr:row>26</xdr:row>
      <xdr:rowOff>200024</xdr:rowOff>
    </xdr:from>
    <xdr:to>
      <xdr:col>3</xdr:col>
      <xdr:colOff>2838450</xdr:colOff>
      <xdr:row>29</xdr:row>
      <xdr:rowOff>0</xdr:rowOff>
    </xdr:to>
    <xdr:sp macro="" textlink="">
      <xdr:nvSpPr>
        <xdr:cNvPr id="2" name="Oval 1">
          <a:extLst>
            <a:ext uri="{FF2B5EF4-FFF2-40B4-BE49-F238E27FC236}">
              <a16:creationId xmlns:a16="http://schemas.microsoft.com/office/drawing/2014/main" id="{00000000-0008-0000-1100-000002000000}"/>
            </a:ext>
          </a:extLst>
        </xdr:cNvPr>
        <xdr:cNvSpPr/>
      </xdr:nvSpPr>
      <xdr:spPr>
        <a:xfrm>
          <a:off x="3124199" y="5314949"/>
          <a:ext cx="457201" cy="4762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1676399</xdr:colOff>
      <xdr:row>31</xdr:row>
      <xdr:rowOff>57149</xdr:rowOff>
    </xdr:from>
    <xdr:to>
      <xdr:col>3</xdr:col>
      <xdr:colOff>2133599</xdr:colOff>
      <xdr:row>33</xdr:row>
      <xdr:rowOff>142875</xdr:rowOff>
    </xdr:to>
    <xdr:sp macro="" textlink="">
      <xdr:nvSpPr>
        <xdr:cNvPr id="3" name="Oval 2">
          <a:extLst>
            <a:ext uri="{FF2B5EF4-FFF2-40B4-BE49-F238E27FC236}">
              <a16:creationId xmlns:a16="http://schemas.microsoft.com/office/drawing/2014/main" id="{00000000-0008-0000-1100-000003000000}"/>
            </a:ext>
          </a:extLst>
        </xdr:cNvPr>
        <xdr:cNvSpPr/>
      </xdr:nvSpPr>
      <xdr:spPr>
        <a:xfrm>
          <a:off x="2419349" y="6095999"/>
          <a:ext cx="457200" cy="4857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228600</xdr:colOff>
      <xdr:row>27</xdr:row>
      <xdr:rowOff>9525</xdr:rowOff>
    </xdr:from>
    <xdr:to>
      <xdr:col>3</xdr:col>
      <xdr:colOff>76200</xdr:colOff>
      <xdr:row>29</xdr:row>
      <xdr:rowOff>57151</xdr:rowOff>
    </xdr:to>
    <xdr:sp macro="" textlink="">
      <xdr:nvSpPr>
        <xdr:cNvPr id="4" name="Oval 3">
          <a:extLst>
            <a:ext uri="{FF2B5EF4-FFF2-40B4-BE49-F238E27FC236}">
              <a16:creationId xmlns:a16="http://schemas.microsoft.com/office/drawing/2014/main" id="{00000000-0008-0000-1100-000004000000}"/>
            </a:ext>
          </a:extLst>
        </xdr:cNvPr>
        <xdr:cNvSpPr/>
      </xdr:nvSpPr>
      <xdr:spPr>
        <a:xfrm>
          <a:off x="361950" y="5200650"/>
          <a:ext cx="457200"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3</xdr:col>
      <xdr:colOff>1704973</xdr:colOff>
      <xdr:row>18</xdr:row>
      <xdr:rowOff>28574</xdr:rowOff>
    </xdr:from>
    <xdr:to>
      <xdr:col>3</xdr:col>
      <xdr:colOff>2171698</xdr:colOff>
      <xdr:row>20</xdr:row>
      <xdr:rowOff>0</xdr:rowOff>
    </xdr:to>
    <xdr:sp macro="" textlink="">
      <xdr:nvSpPr>
        <xdr:cNvPr id="5" name="Oval 4">
          <a:extLst>
            <a:ext uri="{FF2B5EF4-FFF2-40B4-BE49-F238E27FC236}">
              <a16:creationId xmlns:a16="http://schemas.microsoft.com/office/drawing/2014/main" id="{00000000-0008-0000-1100-000005000000}"/>
            </a:ext>
          </a:extLst>
        </xdr:cNvPr>
        <xdr:cNvSpPr/>
      </xdr:nvSpPr>
      <xdr:spPr>
        <a:xfrm>
          <a:off x="2447923" y="3152774"/>
          <a:ext cx="466725"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8</xdr:col>
      <xdr:colOff>180975</xdr:colOff>
      <xdr:row>66</xdr:row>
      <xdr:rowOff>28575</xdr:rowOff>
    </xdr:from>
    <xdr:to>
      <xdr:col>8</xdr:col>
      <xdr:colOff>333375</xdr:colOff>
      <xdr:row>73</xdr:row>
      <xdr:rowOff>142875</xdr:rowOff>
    </xdr:to>
    <xdr:sp macro="" textlink="">
      <xdr:nvSpPr>
        <xdr:cNvPr id="6" name="Left Brace 5">
          <a:extLst>
            <a:ext uri="{FF2B5EF4-FFF2-40B4-BE49-F238E27FC236}">
              <a16:creationId xmlns:a16="http://schemas.microsoft.com/office/drawing/2014/main" id="{00000000-0008-0000-1100-000006000000}"/>
            </a:ext>
          </a:extLst>
        </xdr:cNvPr>
        <xdr:cNvSpPr/>
      </xdr:nvSpPr>
      <xdr:spPr>
        <a:xfrm>
          <a:off x="5581650" y="13487400"/>
          <a:ext cx="152400" cy="157162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171450</xdr:colOff>
      <xdr:row>74</xdr:row>
      <xdr:rowOff>9525</xdr:rowOff>
    </xdr:from>
    <xdr:to>
      <xdr:col>8</xdr:col>
      <xdr:colOff>352424</xdr:colOff>
      <xdr:row>81</xdr:row>
      <xdr:rowOff>209549</xdr:rowOff>
    </xdr:to>
    <xdr:sp macro="" textlink="">
      <xdr:nvSpPr>
        <xdr:cNvPr id="7" name="Left Brace 6">
          <a:extLst>
            <a:ext uri="{FF2B5EF4-FFF2-40B4-BE49-F238E27FC236}">
              <a16:creationId xmlns:a16="http://schemas.microsoft.com/office/drawing/2014/main" id="{00000000-0008-0000-1100-000007000000}"/>
            </a:ext>
          </a:extLst>
        </xdr:cNvPr>
        <xdr:cNvSpPr/>
      </xdr:nvSpPr>
      <xdr:spPr>
        <a:xfrm>
          <a:off x="5572125" y="15135225"/>
          <a:ext cx="180974" cy="1619249"/>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3</xdr:col>
      <xdr:colOff>1838324</xdr:colOff>
      <xdr:row>21</xdr:row>
      <xdr:rowOff>0</xdr:rowOff>
    </xdr:from>
    <xdr:to>
      <xdr:col>3</xdr:col>
      <xdr:colOff>2063377</xdr:colOff>
      <xdr:row>22</xdr:row>
      <xdr:rowOff>6436</xdr:rowOff>
    </xdr:to>
    <xdr:pic>
      <xdr:nvPicPr>
        <xdr:cNvPr id="8" name="Picture 7" descr="Glossy Traffic Signal Light by ab-cs-center on DeviantArt">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3848100"/>
          <a:ext cx="225053" cy="254086"/>
        </a:xfrm>
        <a:prstGeom prst="rect">
          <a:avLst/>
        </a:prstGeom>
      </xdr:spPr>
    </xdr:pic>
    <xdr:clientData/>
  </xdr:twoCellAnchor>
  <xdr:twoCellAnchor editAs="oneCell">
    <xdr:from>
      <xdr:col>3</xdr:col>
      <xdr:colOff>105688</xdr:colOff>
      <xdr:row>20</xdr:row>
      <xdr:rowOff>9527</xdr:rowOff>
    </xdr:from>
    <xdr:to>
      <xdr:col>3</xdr:col>
      <xdr:colOff>2469799</xdr:colOff>
      <xdr:row>31</xdr:row>
      <xdr:rowOff>73610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rot="5400000">
          <a:off x="779452" y="3679163"/>
          <a:ext cx="2502483" cy="2364111"/>
        </a:xfrm>
        <a:prstGeom prst="rect">
          <a:avLst/>
        </a:prstGeom>
      </xdr:spPr>
    </xdr:pic>
    <xdr:clientData/>
  </xdr:twoCellAnchor>
  <xdr:twoCellAnchor>
    <xdr:from>
      <xdr:col>9</xdr:col>
      <xdr:colOff>619126</xdr:colOff>
      <xdr:row>22</xdr:row>
      <xdr:rowOff>171450</xdr:rowOff>
    </xdr:from>
    <xdr:to>
      <xdr:col>9</xdr:col>
      <xdr:colOff>1466850</xdr:colOff>
      <xdr:row>23</xdr:row>
      <xdr:rowOff>0</xdr:rowOff>
    </xdr:to>
    <xdr:cxnSp macro="">
      <xdr:nvCxnSpPr>
        <xdr:cNvPr id="10" name="Straight Arrow Connector 9">
          <a:extLst>
            <a:ext uri="{FF2B5EF4-FFF2-40B4-BE49-F238E27FC236}">
              <a16:creationId xmlns:a16="http://schemas.microsoft.com/office/drawing/2014/main" id="{00000000-0008-0000-1100-00000A000000}"/>
            </a:ext>
          </a:extLst>
        </xdr:cNvPr>
        <xdr:cNvCxnSpPr/>
      </xdr:nvCxnSpPr>
      <xdr:spPr>
        <a:xfrm flipH="1" flipV="1">
          <a:off x="7839076" y="4467225"/>
          <a:ext cx="847724" cy="19050"/>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xdr:from>
      <xdr:col>3</xdr:col>
      <xdr:colOff>194388</xdr:colOff>
      <xdr:row>25</xdr:row>
      <xdr:rowOff>58316</xdr:rowOff>
    </xdr:from>
    <xdr:to>
      <xdr:col>3</xdr:col>
      <xdr:colOff>1108010</xdr:colOff>
      <xdr:row>29</xdr:row>
      <xdr:rowOff>87474</xdr:rowOff>
    </xdr:to>
    <xdr:sp macro="" textlink="">
      <xdr:nvSpPr>
        <xdr:cNvPr id="11" name="Oval 10">
          <a:extLst>
            <a:ext uri="{FF2B5EF4-FFF2-40B4-BE49-F238E27FC236}">
              <a16:creationId xmlns:a16="http://schemas.microsoft.com/office/drawing/2014/main" id="{00000000-0008-0000-1100-00000B000000}"/>
            </a:ext>
          </a:extLst>
        </xdr:cNvPr>
        <xdr:cNvSpPr/>
      </xdr:nvSpPr>
      <xdr:spPr>
        <a:xfrm>
          <a:off x="937338" y="4725566"/>
          <a:ext cx="913622" cy="95308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349898</xdr:colOff>
      <xdr:row>37</xdr:row>
      <xdr:rowOff>97193</xdr:rowOff>
    </xdr:from>
    <xdr:to>
      <xdr:col>4</xdr:col>
      <xdr:colOff>474555</xdr:colOff>
      <xdr:row>44</xdr:row>
      <xdr:rowOff>16328</xdr:rowOff>
    </xdr:to>
    <xdr:pic>
      <xdr:nvPicPr>
        <xdr:cNvPr id="12" name="Picture 1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3248" y="7383818"/>
          <a:ext cx="4039432" cy="1481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581025</xdr:colOff>
      <xdr:row>23</xdr:row>
      <xdr:rowOff>190499</xdr:rowOff>
    </xdr:from>
    <xdr:to>
      <xdr:col>9</xdr:col>
      <xdr:colOff>2438401</xdr:colOff>
      <xdr:row>26</xdr:row>
      <xdr:rowOff>28574</xdr:rowOff>
    </xdr:to>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6029325" y="4476749"/>
          <a:ext cx="2486026" cy="4667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xdr:col>
      <xdr:colOff>714375</xdr:colOff>
      <xdr:row>20</xdr:row>
      <xdr:rowOff>238125</xdr:rowOff>
    </xdr:from>
    <xdr:ext cx="322717" cy="342786"/>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457325" y="3838575"/>
          <a:ext cx="32271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Q</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413349</xdr:colOff>
      <xdr:row>18</xdr:row>
      <xdr:rowOff>171035</xdr:rowOff>
    </xdr:from>
    <xdr:to>
      <xdr:col>3</xdr:col>
      <xdr:colOff>2966410</xdr:colOff>
      <xdr:row>31</xdr:row>
      <xdr:rowOff>152879</xdr:rowOff>
    </xdr:to>
    <xdr:pic>
      <xdr:nvPicPr>
        <xdr:cNvPr id="2" name="Picture 1" descr="Traffic Performance of Three Typical Designs of New Jersey ...">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722645" y="3347889"/>
          <a:ext cx="2867919" cy="3162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118613</xdr:colOff>
      <xdr:row>24</xdr:row>
      <xdr:rowOff>102796</xdr:rowOff>
    </xdr:from>
    <xdr:to>
      <xdr:col>4</xdr:col>
      <xdr:colOff>552810</xdr:colOff>
      <xdr:row>26</xdr:row>
      <xdr:rowOff>54992</xdr:rowOff>
    </xdr:to>
    <xdr:sp macro="" textlink="">
      <xdr:nvSpPr>
        <xdr:cNvPr id="3" name="Oval 2">
          <a:extLst>
            <a:ext uri="{FF2B5EF4-FFF2-40B4-BE49-F238E27FC236}">
              <a16:creationId xmlns:a16="http://schemas.microsoft.com/office/drawing/2014/main" id="{00000000-0008-0000-1200-000003000000}"/>
            </a:ext>
          </a:extLst>
        </xdr:cNvPr>
        <xdr:cNvSpPr/>
      </xdr:nvSpPr>
      <xdr:spPr>
        <a:xfrm>
          <a:off x="3290438" y="4779571"/>
          <a:ext cx="434197" cy="47607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967954</xdr:colOff>
      <xdr:row>31</xdr:row>
      <xdr:rowOff>188702</xdr:rowOff>
    </xdr:from>
    <xdr:to>
      <xdr:col>3</xdr:col>
      <xdr:colOff>1383821</xdr:colOff>
      <xdr:row>33</xdr:row>
      <xdr:rowOff>170731</xdr:rowOff>
    </xdr:to>
    <xdr:sp macro="" textlink="">
      <xdr:nvSpPr>
        <xdr:cNvPr id="4" name="Oval 3">
          <a:extLst>
            <a:ext uri="{FF2B5EF4-FFF2-40B4-BE49-F238E27FC236}">
              <a16:creationId xmlns:a16="http://schemas.microsoft.com/office/drawing/2014/main" id="{00000000-0008-0000-1200-000004000000}"/>
            </a:ext>
          </a:extLst>
        </xdr:cNvPr>
        <xdr:cNvSpPr/>
      </xdr:nvSpPr>
      <xdr:spPr>
        <a:xfrm>
          <a:off x="1739479" y="6399002"/>
          <a:ext cx="415867" cy="382079"/>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1</xdr:col>
      <xdr:colOff>58768</xdr:colOff>
      <xdr:row>24</xdr:row>
      <xdr:rowOff>108909</xdr:rowOff>
    </xdr:from>
    <xdr:to>
      <xdr:col>2</xdr:col>
      <xdr:colOff>399152</xdr:colOff>
      <xdr:row>26</xdr:row>
      <xdr:rowOff>28576</xdr:rowOff>
    </xdr:to>
    <xdr:sp macro="" textlink="">
      <xdr:nvSpPr>
        <xdr:cNvPr id="5" name="Oval 4">
          <a:extLst>
            <a:ext uri="{FF2B5EF4-FFF2-40B4-BE49-F238E27FC236}">
              <a16:creationId xmlns:a16="http://schemas.microsoft.com/office/drawing/2014/main" id="{00000000-0008-0000-1200-000005000000}"/>
            </a:ext>
          </a:extLst>
        </xdr:cNvPr>
        <xdr:cNvSpPr/>
      </xdr:nvSpPr>
      <xdr:spPr>
        <a:xfrm>
          <a:off x="106393" y="4785684"/>
          <a:ext cx="454684" cy="443542"/>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8</xdr:col>
      <xdr:colOff>133351</xdr:colOff>
      <xdr:row>62</xdr:row>
      <xdr:rowOff>38101</xdr:rowOff>
    </xdr:from>
    <xdr:to>
      <xdr:col>8</xdr:col>
      <xdr:colOff>197689</xdr:colOff>
      <xdr:row>66</xdr:row>
      <xdr:rowOff>0</xdr:rowOff>
    </xdr:to>
    <xdr:sp macro="" textlink="">
      <xdr:nvSpPr>
        <xdr:cNvPr id="6" name="Left Brace 5">
          <a:extLst>
            <a:ext uri="{FF2B5EF4-FFF2-40B4-BE49-F238E27FC236}">
              <a16:creationId xmlns:a16="http://schemas.microsoft.com/office/drawing/2014/main" id="{00000000-0008-0000-1200-000006000000}"/>
            </a:ext>
          </a:extLst>
        </xdr:cNvPr>
        <xdr:cNvSpPr/>
      </xdr:nvSpPr>
      <xdr:spPr>
        <a:xfrm>
          <a:off x="5572126" y="12992101"/>
          <a:ext cx="35763" cy="800099"/>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76200</xdr:colOff>
      <xdr:row>66</xdr:row>
      <xdr:rowOff>27497</xdr:rowOff>
    </xdr:from>
    <xdr:to>
      <xdr:col>8</xdr:col>
      <xdr:colOff>197688</xdr:colOff>
      <xdr:row>69</xdr:row>
      <xdr:rowOff>188702</xdr:rowOff>
    </xdr:to>
    <xdr:sp macro="" textlink="">
      <xdr:nvSpPr>
        <xdr:cNvPr id="7" name="Left Brace 6">
          <a:extLst>
            <a:ext uri="{FF2B5EF4-FFF2-40B4-BE49-F238E27FC236}">
              <a16:creationId xmlns:a16="http://schemas.microsoft.com/office/drawing/2014/main" id="{00000000-0008-0000-1200-000007000000}"/>
            </a:ext>
          </a:extLst>
        </xdr:cNvPr>
        <xdr:cNvSpPr/>
      </xdr:nvSpPr>
      <xdr:spPr>
        <a:xfrm>
          <a:off x="5514975" y="13819697"/>
          <a:ext cx="92913" cy="789855"/>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968493</xdr:colOff>
      <xdr:row>17</xdr:row>
      <xdr:rowOff>124903</xdr:rowOff>
    </xdr:from>
    <xdr:to>
      <xdr:col>3</xdr:col>
      <xdr:colOff>1435218</xdr:colOff>
      <xdr:row>19</xdr:row>
      <xdr:rowOff>91117</xdr:rowOff>
    </xdr:to>
    <xdr:sp macro="" textlink="">
      <xdr:nvSpPr>
        <xdr:cNvPr id="8" name="Oval 7">
          <a:extLst>
            <a:ext uri="{FF2B5EF4-FFF2-40B4-BE49-F238E27FC236}">
              <a16:creationId xmlns:a16="http://schemas.microsoft.com/office/drawing/2014/main" id="{00000000-0008-0000-1200-000008000000}"/>
            </a:ext>
          </a:extLst>
        </xdr:cNvPr>
        <xdr:cNvSpPr/>
      </xdr:nvSpPr>
      <xdr:spPr>
        <a:xfrm>
          <a:off x="1740018" y="3249103"/>
          <a:ext cx="466725" cy="442464"/>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8</xdr:col>
      <xdr:colOff>733425</xdr:colOff>
      <xdr:row>23</xdr:row>
      <xdr:rowOff>9525</xdr:rowOff>
    </xdr:from>
    <xdr:to>
      <xdr:col>9</xdr:col>
      <xdr:colOff>2590801</xdr:colOff>
      <xdr:row>25</xdr:row>
      <xdr:rowOff>9525</xdr:rowOff>
    </xdr:to>
    <xdr:sp macro="" textlink="">
      <xdr:nvSpPr>
        <xdr:cNvPr id="10" name="Rounded Rectangle 9">
          <a:extLst>
            <a:ext uri="{FF2B5EF4-FFF2-40B4-BE49-F238E27FC236}">
              <a16:creationId xmlns:a16="http://schemas.microsoft.com/office/drawing/2014/main" id="{00000000-0008-0000-1200-00000A000000}"/>
            </a:ext>
          </a:extLst>
        </xdr:cNvPr>
        <xdr:cNvSpPr/>
      </xdr:nvSpPr>
      <xdr:spPr>
        <a:xfrm>
          <a:off x="6219825" y="4476750"/>
          <a:ext cx="2676526" cy="44767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1219200</xdr:colOff>
      <xdr:row>19</xdr:row>
      <xdr:rowOff>152400</xdr:rowOff>
    </xdr:from>
    <xdr:to>
      <xdr:col>9</xdr:col>
      <xdr:colOff>1228725</xdr:colOff>
      <xdr:row>22</xdr:row>
      <xdr:rowOff>152399</xdr:rowOff>
    </xdr:to>
    <xdr:cxnSp macro="">
      <xdr:nvCxnSpPr>
        <xdr:cNvPr id="11" name="Straight Arrow Connector 10">
          <a:extLst>
            <a:ext uri="{FF2B5EF4-FFF2-40B4-BE49-F238E27FC236}">
              <a16:creationId xmlns:a16="http://schemas.microsoft.com/office/drawing/2014/main" id="{00000000-0008-0000-1200-00000B000000}"/>
            </a:ext>
          </a:extLst>
        </xdr:cNvPr>
        <xdr:cNvCxnSpPr/>
      </xdr:nvCxnSpPr>
      <xdr:spPr>
        <a:xfrm flipH="1" flipV="1">
          <a:off x="7524750" y="3743325"/>
          <a:ext cx="9525" cy="685799"/>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512194</xdr:colOff>
      <xdr:row>18</xdr:row>
      <xdr:rowOff>80873</xdr:rowOff>
    </xdr:from>
    <xdr:to>
      <xdr:col>3</xdr:col>
      <xdr:colOff>2615053</xdr:colOff>
      <xdr:row>32</xdr:row>
      <xdr:rowOff>31675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rot="16200000">
          <a:off x="516660" y="3553032"/>
          <a:ext cx="3027377" cy="2712459"/>
        </a:xfrm>
        <a:prstGeom prst="rect">
          <a:avLst/>
        </a:prstGeom>
      </xdr:spPr>
    </xdr:pic>
    <xdr:clientData/>
  </xdr:twoCellAnchor>
  <xdr:twoCellAnchor>
    <xdr:from>
      <xdr:col>3</xdr:col>
      <xdr:colOff>2514781</xdr:colOff>
      <xdr:row>24</xdr:row>
      <xdr:rowOff>3234</xdr:rowOff>
    </xdr:from>
    <xdr:to>
      <xdr:col>3</xdr:col>
      <xdr:colOff>2948978</xdr:colOff>
      <xdr:row>25</xdr:row>
      <xdr:rowOff>235788</xdr:rowOff>
    </xdr:to>
    <xdr:sp macro="" textlink="">
      <xdr:nvSpPr>
        <xdr:cNvPr id="3" name="Oval 2">
          <a:extLst>
            <a:ext uri="{FF2B5EF4-FFF2-40B4-BE49-F238E27FC236}">
              <a16:creationId xmlns:a16="http://schemas.microsoft.com/office/drawing/2014/main" id="{00000000-0008-0000-1300-000003000000}"/>
            </a:ext>
          </a:extLst>
        </xdr:cNvPr>
        <xdr:cNvSpPr/>
      </xdr:nvSpPr>
      <xdr:spPr>
        <a:xfrm>
          <a:off x="3286306" y="4651434"/>
          <a:ext cx="434197" cy="480204"/>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958968</xdr:colOff>
      <xdr:row>31</xdr:row>
      <xdr:rowOff>89858</xdr:rowOff>
    </xdr:from>
    <xdr:to>
      <xdr:col>3</xdr:col>
      <xdr:colOff>1374835</xdr:colOff>
      <xdr:row>33</xdr:row>
      <xdr:rowOff>71887</xdr:rowOff>
    </xdr:to>
    <xdr:sp macro="" textlink="">
      <xdr:nvSpPr>
        <xdr:cNvPr id="4" name="Oval 3">
          <a:extLst>
            <a:ext uri="{FF2B5EF4-FFF2-40B4-BE49-F238E27FC236}">
              <a16:creationId xmlns:a16="http://schemas.microsoft.com/office/drawing/2014/main" id="{00000000-0008-0000-1300-000004000000}"/>
            </a:ext>
          </a:extLst>
        </xdr:cNvPr>
        <xdr:cNvSpPr/>
      </xdr:nvSpPr>
      <xdr:spPr>
        <a:xfrm>
          <a:off x="1730493" y="6290633"/>
          <a:ext cx="415867" cy="382079"/>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179719</xdr:colOff>
      <xdr:row>24</xdr:row>
      <xdr:rowOff>46009</xdr:rowOff>
    </xdr:from>
    <xdr:to>
      <xdr:col>3</xdr:col>
      <xdr:colOff>25881</xdr:colOff>
      <xdr:row>25</xdr:row>
      <xdr:rowOff>244237</xdr:rowOff>
    </xdr:to>
    <xdr:sp macro="" textlink="">
      <xdr:nvSpPr>
        <xdr:cNvPr id="5" name="Oval 4">
          <a:extLst>
            <a:ext uri="{FF2B5EF4-FFF2-40B4-BE49-F238E27FC236}">
              <a16:creationId xmlns:a16="http://schemas.microsoft.com/office/drawing/2014/main" id="{00000000-0008-0000-1300-000005000000}"/>
            </a:ext>
          </a:extLst>
        </xdr:cNvPr>
        <xdr:cNvSpPr/>
      </xdr:nvSpPr>
      <xdr:spPr>
        <a:xfrm>
          <a:off x="341644" y="4713259"/>
          <a:ext cx="455762" cy="445878"/>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8</xdr:col>
      <xdr:colOff>133351</xdr:colOff>
      <xdr:row>58</xdr:row>
      <xdr:rowOff>38101</xdr:rowOff>
    </xdr:from>
    <xdr:to>
      <xdr:col>8</xdr:col>
      <xdr:colOff>197689</xdr:colOff>
      <xdr:row>62</xdr:row>
      <xdr:rowOff>0</xdr:rowOff>
    </xdr:to>
    <xdr:sp macro="" textlink="">
      <xdr:nvSpPr>
        <xdr:cNvPr id="6" name="Left Brace 5">
          <a:extLst>
            <a:ext uri="{FF2B5EF4-FFF2-40B4-BE49-F238E27FC236}">
              <a16:creationId xmlns:a16="http://schemas.microsoft.com/office/drawing/2014/main" id="{00000000-0008-0000-1300-000006000000}"/>
            </a:ext>
          </a:extLst>
        </xdr:cNvPr>
        <xdr:cNvSpPr/>
      </xdr:nvSpPr>
      <xdr:spPr>
        <a:xfrm>
          <a:off x="5438776" y="12153901"/>
          <a:ext cx="35763" cy="800099"/>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76200</xdr:colOff>
      <xdr:row>62</xdr:row>
      <xdr:rowOff>27497</xdr:rowOff>
    </xdr:from>
    <xdr:to>
      <xdr:col>8</xdr:col>
      <xdr:colOff>197688</xdr:colOff>
      <xdr:row>65</xdr:row>
      <xdr:rowOff>188702</xdr:rowOff>
    </xdr:to>
    <xdr:sp macro="" textlink="">
      <xdr:nvSpPr>
        <xdr:cNvPr id="7" name="Left Brace 6">
          <a:extLst>
            <a:ext uri="{FF2B5EF4-FFF2-40B4-BE49-F238E27FC236}">
              <a16:creationId xmlns:a16="http://schemas.microsoft.com/office/drawing/2014/main" id="{00000000-0008-0000-1300-000007000000}"/>
            </a:ext>
          </a:extLst>
        </xdr:cNvPr>
        <xdr:cNvSpPr/>
      </xdr:nvSpPr>
      <xdr:spPr>
        <a:xfrm>
          <a:off x="5381625" y="12981497"/>
          <a:ext cx="92913" cy="789855"/>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923565</xdr:colOff>
      <xdr:row>17</xdr:row>
      <xdr:rowOff>17072</xdr:rowOff>
    </xdr:from>
    <xdr:to>
      <xdr:col>3</xdr:col>
      <xdr:colOff>1390290</xdr:colOff>
      <xdr:row>18</xdr:row>
      <xdr:rowOff>261847</xdr:rowOff>
    </xdr:to>
    <xdr:sp macro="" textlink="">
      <xdr:nvSpPr>
        <xdr:cNvPr id="8" name="Oval 7">
          <a:extLst>
            <a:ext uri="{FF2B5EF4-FFF2-40B4-BE49-F238E27FC236}">
              <a16:creationId xmlns:a16="http://schemas.microsoft.com/office/drawing/2014/main" id="{00000000-0008-0000-1300-000008000000}"/>
            </a:ext>
          </a:extLst>
        </xdr:cNvPr>
        <xdr:cNvSpPr/>
      </xdr:nvSpPr>
      <xdr:spPr>
        <a:xfrm>
          <a:off x="1695090" y="3141272"/>
          <a:ext cx="466725" cy="4448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9</xdr:col>
      <xdr:colOff>0</xdr:colOff>
      <xdr:row>22</xdr:row>
      <xdr:rowOff>9525</xdr:rowOff>
    </xdr:from>
    <xdr:to>
      <xdr:col>9</xdr:col>
      <xdr:colOff>2463799</xdr:colOff>
      <xdr:row>24</xdr:row>
      <xdr:rowOff>9525</xdr:rowOff>
    </xdr:to>
    <xdr:sp macro="" textlink="">
      <xdr:nvSpPr>
        <xdr:cNvPr id="9" name="Rounded Rectangle 8">
          <a:extLst>
            <a:ext uri="{FF2B5EF4-FFF2-40B4-BE49-F238E27FC236}">
              <a16:creationId xmlns:a16="http://schemas.microsoft.com/office/drawing/2014/main" id="{00000000-0008-0000-1300-000009000000}"/>
            </a:ext>
          </a:extLst>
        </xdr:cNvPr>
        <xdr:cNvSpPr/>
      </xdr:nvSpPr>
      <xdr:spPr>
        <a:xfrm>
          <a:off x="8623300" y="4352925"/>
          <a:ext cx="2463799" cy="381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752475</xdr:colOff>
      <xdr:row>20</xdr:row>
      <xdr:rowOff>209551</xdr:rowOff>
    </xdr:from>
    <xdr:to>
      <xdr:col>9</xdr:col>
      <xdr:colOff>1466852</xdr:colOff>
      <xdr:row>20</xdr:row>
      <xdr:rowOff>228600</xdr:rowOff>
    </xdr:to>
    <xdr:cxnSp macro="">
      <xdr:nvCxnSpPr>
        <xdr:cNvPr id="10" name="Straight Arrow Connector 9">
          <a:extLst>
            <a:ext uri="{FF2B5EF4-FFF2-40B4-BE49-F238E27FC236}">
              <a16:creationId xmlns:a16="http://schemas.microsoft.com/office/drawing/2014/main" id="{00000000-0008-0000-1300-00000A000000}"/>
            </a:ext>
          </a:extLst>
        </xdr:cNvPr>
        <xdr:cNvCxnSpPr/>
      </xdr:nvCxnSpPr>
      <xdr:spPr>
        <a:xfrm flipH="1">
          <a:off x="8324850" y="4038601"/>
          <a:ext cx="714377" cy="19049"/>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xdr:from>
      <xdr:col>3</xdr:col>
      <xdr:colOff>771525</xdr:colOff>
      <xdr:row>20</xdr:row>
      <xdr:rowOff>190501</xdr:rowOff>
    </xdr:from>
    <xdr:to>
      <xdr:col>3</xdr:col>
      <xdr:colOff>1333500</xdr:colOff>
      <xdr:row>23</xdr:row>
      <xdr:rowOff>76201</xdr:rowOff>
    </xdr:to>
    <xdr:sp macro="" textlink="">
      <xdr:nvSpPr>
        <xdr:cNvPr id="11" name="Oval 10">
          <a:extLst>
            <a:ext uri="{FF2B5EF4-FFF2-40B4-BE49-F238E27FC236}">
              <a16:creationId xmlns:a16="http://schemas.microsoft.com/office/drawing/2014/main" id="{00000000-0008-0000-1300-00000B000000}"/>
            </a:ext>
          </a:extLst>
        </xdr:cNvPr>
        <xdr:cNvSpPr/>
      </xdr:nvSpPr>
      <xdr:spPr>
        <a:xfrm>
          <a:off x="1543050" y="4029076"/>
          <a:ext cx="561975" cy="51435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1019175</xdr:colOff>
      <xdr:row>26</xdr:row>
      <xdr:rowOff>123826</xdr:rowOff>
    </xdr:from>
    <xdr:to>
      <xdr:col>3</xdr:col>
      <xdr:colOff>1581150</xdr:colOff>
      <xdr:row>29</xdr:row>
      <xdr:rowOff>38101</xdr:rowOff>
    </xdr:to>
    <xdr:sp macro="" textlink="">
      <xdr:nvSpPr>
        <xdr:cNvPr id="12" name="Oval 11">
          <a:extLst>
            <a:ext uri="{FF2B5EF4-FFF2-40B4-BE49-F238E27FC236}">
              <a16:creationId xmlns:a16="http://schemas.microsoft.com/office/drawing/2014/main" id="{00000000-0008-0000-1300-00000C000000}"/>
            </a:ext>
          </a:extLst>
        </xdr:cNvPr>
        <xdr:cNvSpPr/>
      </xdr:nvSpPr>
      <xdr:spPr>
        <a:xfrm>
          <a:off x="1790700" y="5305426"/>
          <a:ext cx="561975" cy="51435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28575</xdr:colOff>
      <xdr:row>21</xdr:row>
      <xdr:rowOff>16064</xdr:rowOff>
    </xdr:from>
    <xdr:to>
      <xdr:col>3</xdr:col>
      <xdr:colOff>2869181</xdr:colOff>
      <xdr:row>33</xdr:row>
      <xdr:rowOff>39179</xdr:rowOff>
    </xdr:to>
    <xdr:pic>
      <xdr:nvPicPr>
        <xdr:cNvPr id="2" name="Picture 1" descr="Module 6 Other Innovative Concepts Intersection &amp; Interchange Geometrics  (IIG) Innovative Design Considerations for All Users. - ppt download">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4026089"/>
          <a:ext cx="3450206" cy="2585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2589899</xdr:colOff>
      <xdr:row>25</xdr:row>
      <xdr:rowOff>96327</xdr:rowOff>
    </xdr:from>
    <xdr:to>
      <xdr:col>3</xdr:col>
      <xdr:colOff>3105151</xdr:colOff>
      <xdr:row>27</xdr:row>
      <xdr:rowOff>46905</xdr:rowOff>
    </xdr:to>
    <xdr:sp macro="" textlink="">
      <xdr:nvSpPr>
        <xdr:cNvPr id="3" name="Oval 2">
          <a:extLst>
            <a:ext uri="{FF2B5EF4-FFF2-40B4-BE49-F238E27FC236}">
              <a16:creationId xmlns:a16="http://schemas.microsoft.com/office/drawing/2014/main" id="{00000000-0008-0000-1400-000003000000}"/>
            </a:ext>
          </a:extLst>
        </xdr:cNvPr>
        <xdr:cNvSpPr/>
      </xdr:nvSpPr>
      <xdr:spPr>
        <a:xfrm>
          <a:off x="3361424" y="4935027"/>
          <a:ext cx="515252" cy="474453"/>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863898</xdr:colOff>
      <xdr:row>31</xdr:row>
      <xdr:rowOff>180254</xdr:rowOff>
    </xdr:from>
    <xdr:to>
      <xdr:col>3</xdr:col>
      <xdr:colOff>1279765</xdr:colOff>
      <xdr:row>33</xdr:row>
      <xdr:rowOff>160845</xdr:rowOff>
    </xdr:to>
    <xdr:sp macro="" textlink="">
      <xdr:nvSpPr>
        <xdr:cNvPr id="4" name="Oval 3">
          <a:extLst>
            <a:ext uri="{FF2B5EF4-FFF2-40B4-BE49-F238E27FC236}">
              <a16:creationId xmlns:a16="http://schemas.microsoft.com/office/drawing/2014/main" id="{00000000-0008-0000-1400-000004000000}"/>
            </a:ext>
          </a:extLst>
        </xdr:cNvPr>
        <xdr:cNvSpPr/>
      </xdr:nvSpPr>
      <xdr:spPr>
        <a:xfrm>
          <a:off x="1635423" y="6352454"/>
          <a:ext cx="415867" cy="38064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0</xdr:col>
      <xdr:colOff>0</xdr:colOff>
      <xdr:row>25</xdr:row>
      <xdr:rowOff>36844</xdr:rowOff>
    </xdr:from>
    <xdr:to>
      <xdr:col>2</xdr:col>
      <xdr:colOff>292759</xdr:colOff>
      <xdr:row>26</xdr:row>
      <xdr:rowOff>231118</xdr:rowOff>
    </xdr:to>
    <xdr:sp macro="" textlink="">
      <xdr:nvSpPr>
        <xdr:cNvPr id="5" name="Oval 4">
          <a:extLst>
            <a:ext uri="{FF2B5EF4-FFF2-40B4-BE49-F238E27FC236}">
              <a16:creationId xmlns:a16="http://schemas.microsoft.com/office/drawing/2014/main" id="{00000000-0008-0000-1400-000005000000}"/>
            </a:ext>
          </a:extLst>
        </xdr:cNvPr>
        <xdr:cNvSpPr/>
      </xdr:nvSpPr>
      <xdr:spPr>
        <a:xfrm>
          <a:off x="0" y="4866019"/>
          <a:ext cx="454684" cy="441924"/>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8</xdr:col>
      <xdr:colOff>89859</xdr:colOff>
      <xdr:row>56</xdr:row>
      <xdr:rowOff>83031</xdr:rowOff>
    </xdr:from>
    <xdr:to>
      <xdr:col>8</xdr:col>
      <xdr:colOff>152760</xdr:colOff>
      <xdr:row>61</xdr:row>
      <xdr:rowOff>161746</xdr:rowOff>
    </xdr:to>
    <xdr:sp macro="" textlink="">
      <xdr:nvSpPr>
        <xdr:cNvPr id="6" name="Left Brace 5">
          <a:extLst>
            <a:ext uri="{FF2B5EF4-FFF2-40B4-BE49-F238E27FC236}">
              <a16:creationId xmlns:a16="http://schemas.microsoft.com/office/drawing/2014/main" id="{00000000-0008-0000-1400-000006000000}"/>
            </a:ext>
          </a:extLst>
        </xdr:cNvPr>
        <xdr:cNvSpPr/>
      </xdr:nvSpPr>
      <xdr:spPr>
        <a:xfrm>
          <a:off x="6071559" y="11598756"/>
          <a:ext cx="62901" cy="114551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26959</xdr:colOff>
      <xdr:row>62</xdr:row>
      <xdr:rowOff>81414</xdr:rowOff>
    </xdr:from>
    <xdr:to>
      <xdr:col>8</xdr:col>
      <xdr:colOff>125803</xdr:colOff>
      <xdr:row>67</xdr:row>
      <xdr:rowOff>152760</xdr:rowOff>
    </xdr:to>
    <xdr:sp macro="" textlink="">
      <xdr:nvSpPr>
        <xdr:cNvPr id="7" name="Left Brace 6">
          <a:extLst>
            <a:ext uri="{FF2B5EF4-FFF2-40B4-BE49-F238E27FC236}">
              <a16:creationId xmlns:a16="http://schemas.microsoft.com/office/drawing/2014/main" id="{00000000-0008-0000-1400-000007000000}"/>
            </a:ext>
          </a:extLst>
        </xdr:cNvPr>
        <xdr:cNvSpPr/>
      </xdr:nvSpPr>
      <xdr:spPr>
        <a:xfrm>
          <a:off x="6008659" y="12873489"/>
          <a:ext cx="98844" cy="1061946"/>
        </a:xfrm>
        <a:prstGeom prst="leftBrace">
          <a:avLst>
            <a:gd name="adj1" fmla="val 8333"/>
            <a:gd name="adj2" fmla="val 49401"/>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3416300</xdr:colOff>
      <xdr:row>30</xdr:row>
      <xdr:rowOff>190501</xdr:rowOff>
    </xdr:from>
    <xdr:to>
      <xdr:col>6</xdr:col>
      <xdr:colOff>787401</xdr:colOff>
      <xdr:row>33</xdr:row>
      <xdr:rowOff>44451</xdr:rowOff>
    </xdr:to>
    <xdr:sp macro="" textlink="">
      <xdr:nvSpPr>
        <xdr:cNvPr id="8" name="Rounded Rectangle 7">
          <a:extLst>
            <a:ext uri="{FF2B5EF4-FFF2-40B4-BE49-F238E27FC236}">
              <a16:creationId xmlns:a16="http://schemas.microsoft.com/office/drawing/2014/main" id="{00000000-0008-0000-1400-000008000000}"/>
            </a:ext>
          </a:extLst>
        </xdr:cNvPr>
        <xdr:cNvSpPr/>
      </xdr:nvSpPr>
      <xdr:spPr>
        <a:xfrm>
          <a:off x="4267200" y="6286501"/>
          <a:ext cx="2832101" cy="4635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838200</xdr:colOff>
      <xdr:row>27</xdr:row>
      <xdr:rowOff>38101</xdr:rowOff>
    </xdr:from>
    <xdr:to>
      <xdr:col>4</xdr:col>
      <xdr:colOff>847725</xdr:colOff>
      <xdr:row>30</xdr:row>
      <xdr:rowOff>104775</xdr:rowOff>
    </xdr:to>
    <xdr:cxnSp macro="">
      <xdr:nvCxnSpPr>
        <xdr:cNvPr id="10" name="Straight Arrow Connector 9">
          <a:extLst>
            <a:ext uri="{FF2B5EF4-FFF2-40B4-BE49-F238E27FC236}">
              <a16:creationId xmlns:a16="http://schemas.microsoft.com/office/drawing/2014/main" id="{00000000-0008-0000-1400-00000A000000}"/>
            </a:ext>
          </a:extLst>
        </xdr:cNvPr>
        <xdr:cNvCxnSpPr/>
      </xdr:nvCxnSpPr>
      <xdr:spPr>
        <a:xfrm flipH="1" flipV="1">
          <a:off x="4848225" y="5400676"/>
          <a:ext cx="9525" cy="685799"/>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4</xdr:col>
      <xdr:colOff>38099</xdr:colOff>
      <xdr:row>25</xdr:row>
      <xdr:rowOff>171449</xdr:rowOff>
    </xdr:from>
    <xdr:to>
      <xdr:col>4</xdr:col>
      <xdr:colOff>590549</xdr:colOff>
      <xdr:row>27</xdr:row>
      <xdr:rowOff>219075</xdr:rowOff>
    </xdr:to>
    <xdr:sp macro="" textlink="">
      <xdr:nvSpPr>
        <xdr:cNvPr id="2" name="Oval 1">
          <a:extLst>
            <a:ext uri="{FF2B5EF4-FFF2-40B4-BE49-F238E27FC236}">
              <a16:creationId xmlns:a16="http://schemas.microsoft.com/office/drawing/2014/main" id="{00000000-0008-0000-1500-000002000000}"/>
            </a:ext>
          </a:extLst>
        </xdr:cNvPr>
        <xdr:cNvSpPr/>
      </xdr:nvSpPr>
      <xdr:spPr>
        <a:xfrm>
          <a:off x="4772024" y="5029199"/>
          <a:ext cx="552450" cy="50482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2</xdr:col>
      <xdr:colOff>1485899</xdr:colOff>
      <xdr:row>31</xdr:row>
      <xdr:rowOff>47624</xdr:rowOff>
    </xdr:from>
    <xdr:to>
      <xdr:col>2</xdr:col>
      <xdr:colOff>1943099</xdr:colOff>
      <xdr:row>33</xdr:row>
      <xdr:rowOff>95250</xdr:rowOff>
    </xdr:to>
    <xdr:sp macro="" textlink="">
      <xdr:nvSpPr>
        <xdr:cNvPr id="3" name="Oval 2">
          <a:extLst>
            <a:ext uri="{FF2B5EF4-FFF2-40B4-BE49-F238E27FC236}">
              <a16:creationId xmlns:a16="http://schemas.microsoft.com/office/drawing/2014/main" id="{00000000-0008-0000-1500-000003000000}"/>
            </a:ext>
          </a:extLst>
        </xdr:cNvPr>
        <xdr:cNvSpPr/>
      </xdr:nvSpPr>
      <xdr:spPr>
        <a:xfrm>
          <a:off x="2428874" y="6238874"/>
          <a:ext cx="457200"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0</xdr:col>
      <xdr:colOff>66674</xdr:colOff>
      <xdr:row>25</xdr:row>
      <xdr:rowOff>133350</xdr:rowOff>
    </xdr:from>
    <xdr:to>
      <xdr:col>1</xdr:col>
      <xdr:colOff>190499</xdr:colOff>
      <xdr:row>27</xdr:row>
      <xdr:rowOff>152401</xdr:rowOff>
    </xdr:to>
    <xdr:sp macro="" textlink="">
      <xdr:nvSpPr>
        <xdr:cNvPr id="4" name="Oval 3">
          <a:extLst>
            <a:ext uri="{FF2B5EF4-FFF2-40B4-BE49-F238E27FC236}">
              <a16:creationId xmlns:a16="http://schemas.microsoft.com/office/drawing/2014/main" id="{00000000-0008-0000-1500-000004000000}"/>
            </a:ext>
          </a:extLst>
        </xdr:cNvPr>
        <xdr:cNvSpPr/>
      </xdr:nvSpPr>
      <xdr:spPr>
        <a:xfrm>
          <a:off x="66674" y="5019675"/>
          <a:ext cx="457200" cy="4762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2</xdr:col>
      <xdr:colOff>1409698</xdr:colOff>
      <xdr:row>20</xdr:row>
      <xdr:rowOff>47624</xdr:rowOff>
    </xdr:from>
    <xdr:to>
      <xdr:col>2</xdr:col>
      <xdr:colOff>1876423</xdr:colOff>
      <xdr:row>22</xdr:row>
      <xdr:rowOff>76200</xdr:rowOff>
    </xdr:to>
    <xdr:sp macro="" textlink="">
      <xdr:nvSpPr>
        <xdr:cNvPr id="5" name="Oval 4">
          <a:extLst>
            <a:ext uri="{FF2B5EF4-FFF2-40B4-BE49-F238E27FC236}">
              <a16:creationId xmlns:a16="http://schemas.microsoft.com/office/drawing/2014/main" id="{00000000-0008-0000-1500-000005000000}"/>
            </a:ext>
          </a:extLst>
        </xdr:cNvPr>
        <xdr:cNvSpPr/>
      </xdr:nvSpPr>
      <xdr:spPr>
        <a:xfrm>
          <a:off x="2352673" y="3848099"/>
          <a:ext cx="466725" cy="46672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4</xdr:col>
      <xdr:colOff>142874</xdr:colOff>
      <xdr:row>22</xdr:row>
      <xdr:rowOff>133350</xdr:rowOff>
    </xdr:from>
    <xdr:to>
      <xdr:col>5</xdr:col>
      <xdr:colOff>85724</xdr:colOff>
      <xdr:row>22</xdr:row>
      <xdr:rowOff>133350</xdr:rowOff>
    </xdr:to>
    <xdr:cxnSp macro="">
      <xdr:nvCxnSpPr>
        <xdr:cNvPr id="6" name="Straight Arrow Connector 5">
          <a:extLst>
            <a:ext uri="{FF2B5EF4-FFF2-40B4-BE49-F238E27FC236}">
              <a16:creationId xmlns:a16="http://schemas.microsoft.com/office/drawing/2014/main" id="{00000000-0008-0000-1500-000006000000}"/>
            </a:ext>
          </a:extLst>
        </xdr:cNvPr>
        <xdr:cNvCxnSpPr/>
      </xdr:nvCxnSpPr>
      <xdr:spPr>
        <a:xfrm>
          <a:off x="4095749" y="4371975"/>
          <a:ext cx="619125" cy="0"/>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1581149</xdr:colOff>
      <xdr:row>26</xdr:row>
      <xdr:rowOff>19050</xdr:rowOff>
    </xdr:from>
    <xdr:to>
      <xdr:col>2</xdr:col>
      <xdr:colOff>1806202</xdr:colOff>
      <xdr:row>27</xdr:row>
      <xdr:rowOff>63586</xdr:rowOff>
    </xdr:to>
    <xdr:pic>
      <xdr:nvPicPr>
        <xdr:cNvPr id="7" name="Picture 6" descr="Glossy Traffic Signal Light by ab-cs-center on DeviantArt">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4124" y="5153025"/>
          <a:ext cx="225053" cy="254086"/>
        </a:xfrm>
        <a:prstGeom prst="rect">
          <a:avLst/>
        </a:prstGeom>
      </xdr:spPr>
    </xdr:pic>
    <xdr:clientData/>
  </xdr:twoCellAnchor>
  <xdr:twoCellAnchor editAs="oneCell">
    <xdr:from>
      <xdr:col>1</xdr:col>
      <xdr:colOff>133350</xdr:colOff>
      <xdr:row>22</xdr:row>
      <xdr:rowOff>19050</xdr:rowOff>
    </xdr:from>
    <xdr:to>
      <xdr:col>3</xdr:col>
      <xdr:colOff>663915</xdr:colOff>
      <xdr:row>31</xdr:row>
      <xdr:rowOff>114300</xdr:rowOff>
    </xdr:to>
    <xdr:pic>
      <xdr:nvPicPr>
        <xdr:cNvPr id="8" name="Picture 7" descr="Bowtie (road) - Wikipedia">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4257675"/>
          <a:ext cx="432151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1114425</xdr:colOff>
      <xdr:row>22</xdr:row>
      <xdr:rowOff>9525</xdr:rowOff>
    </xdr:from>
    <xdr:ext cx="487954"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2057400" y="4248150"/>
          <a:ext cx="4879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Entry</a:t>
          </a:r>
        </a:p>
      </xdr:txBody>
    </xdr:sp>
    <xdr:clientData/>
  </xdr:oneCellAnchor>
  <xdr:oneCellAnchor>
    <xdr:from>
      <xdr:col>2</xdr:col>
      <xdr:colOff>1743075</xdr:colOff>
      <xdr:row>29</xdr:row>
      <xdr:rowOff>180975</xdr:rowOff>
    </xdr:from>
    <xdr:ext cx="487954"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2686050" y="5972175"/>
          <a:ext cx="4879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Entry</a:t>
          </a:r>
        </a:p>
      </xdr:txBody>
    </xdr:sp>
    <xdr:clientData/>
  </xdr:oneCellAnchor>
  <xdr:oneCellAnchor>
    <xdr:from>
      <xdr:col>2</xdr:col>
      <xdr:colOff>1181100</xdr:colOff>
      <xdr:row>27</xdr:row>
      <xdr:rowOff>9525</xdr:rowOff>
    </xdr:from>
    <xdr:ext cx="431015"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2124075" y="5353050"/>
          <a:ext cx="4310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EXIT</a:t>
          </a:r>
        </a:p>
      </xdr:txBody>
    </xdr:sp>
    <xdr:clientData/>
  </xdr:oneCellAnchor>
  <xdr:oneCellAnchor>
    <xdr:from>
      <xdr:col>2</xdr:col>
      <xdr:colOff>1733550</xdr:colOff>
      <xdr:row>24</xdr:row>
      <xdr:rowOff>209550</xdr:rowOff>
    </xdr:from>
    <xdr:ext cx="431015"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2676525" y="4857750"/>
          <a:ext cx="4310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EXIT</a:t>
          </a:r>
        </a:p>
      </xdr:txBody>
    </xdr:sp>
    <xdr:clientData/>
  </xdr:oneCellAnchor>
  <xdr:twoCellAnchor editAs="oneCell">
    <xdr:from>
      <xdr:col>2</xdr:col>
      <xdr:colOff>1581150</xdr:colOff>
      <xdr:row>26</xdr:row>
      <xdr:rowOff>9525</xdr:rowOff>
    </xdr:from>
    <xdr:to>
      <xdr:col>2</xdr:col>
      <xdr:colOff>1851025</xdr:colOff>
      <xdr:row>27</xdr:row>
      <xdr:rowOff>92710</xdr:rowOff>
    </xdr:to>
    <xdr:pic>
      <xdr:nvPicPr>
        <xdr:cNvPr id="13" name="Picture 12" descr="Glossy Traffic Signal Light by ab-cs-center on DeviantArt">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24125" y="5143500"/>
          <a:ext cx="269875" cy="292735"/>
        </a:xfrm>
        <a:prstGeom prst="rect">
          <a:avLst/>
        </a:prstGeom>
      </xdr:spPr>
    </xdr:pic>
    <xdr:clientData/>
  </xdr:twoCellAnchor>
  <xdr:twoCellAnchor>
    <xdr:from>
      <xdr:col>4</xdr:col>
      <xdr:colOff>133350</xdr:colOff>
      <xdr:row>22</xdr:row>
      <xdr:rowOff>47625</xdr:rowOff>
    </xdr:from>
    <xdr:to>
      <xdr:col>5</xdr:col>
      <xdr:colOff>76200</xdr:colOff>
      <xdr:row>23</xdr:row>
      <xdr:rowOff>38100</xdr:rowOff>
    </xdr:to>
    <xdr:sp macro="" textlink="">
      <xdr:nvSpPr>
        <xdr:cNvPr id="14" name="Rounded Rectangle 13">
          <a:extLst>
            <a:ext uri="{FF2B5EF4-FFF2-40B4-BE49-F238E27FC236}">
              <a16:creationId xmlns:a16="http://schemas.microsoft.com/office/drawing/2014/main" id="{00000000-0008-0000-1500-00000E000000}"/>
            </a:ext>
          </a:extLst>
        </xdr:cNvPr>
        <xdr:cNvSpPr/>
      </xdr:nvSpPr>
      <xdr:spPr>
        <a:xfrm>
          <a:off x="4086225" y="4276725"/>
          <a:ext cx="619125" cy="190500"/>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47624</xdr:colOff>
      <xdr:row>22</xdr:row>
      <xdr:rowOff>142878</xdr:rowOff>
    </xdr:from>
    <xdr:to>
      <xdr:col>8</xdr:col>
      <xdr:colOff>119061</xdr:colOff>
      <xdr:row>23</xdr:row>
      <xdr:rowOff>166691</xdr:rowOff>
    </xdr:to>
    <xdr:sp macro="" textlink="" fLocksText="0">
      <xdr:nvSpPr>
        <xdr:cNvPr id="17" name="Left Arrow 16">
          <a:extLst>
            <a:ext uri="{FF2B5EF4-FFF2-40B4-BE49-F238E27FC236}">
              <a16:creationId xmlns:a16="http://schemas.microsoft.com/office/drawing/2014/main" id="{00000000-0008-0000-1500-000011000000}"/>
            </a:ext>
          </a:extLst>
        </xdr:cNvPr>
        <xdr:cNvSpPr/>
      </xdr:nvSpPr>
      <xdr:spPr>
        <a:xfrm>
          <a:off x="6762749" y="4362453"/>
          <a:ext cx="500062" cy="21431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469900</xdr:colOff>
      <xdr:row>24</xdr:row>
      <xdr:rowOff>228601</xdr:rowOff>
    </xdr:from>
    <xdr:to>
      <xdr:col>8</xdr:col>
      <xdr:colOff>1155700</xdr:colOff>
      <xdr:row>27</xdr:row>
      <xdr:rowOff>44451</xdr:rowOff>
    </xdr:to>
    <xdr:sp macro="" textlink="">
      <xdr:nvSpPr>
        <xdr:cNvPr id="16" name="Rounded Rectangle 15">
          <a:extLst>
            <a:ext uri="{FF2B5EF4-FFF2-40B4-BE49-F238E27FC236}">
              <a16:creationId xmlns:a16="http://schemas.microsoft.com/office/drawing/2014/main" id="{00000000-0008-0000-1500-000010000000}"/>
            </a:ext>
          </a:extLst>
        </xdr:cNvPr>
        <xdr:cNvSpPr/>
      </xdr:nvSpPr>
      <xdr:spPr>
        <a:xfrm>
          <a:off x="6807200" y="4914901"/>
          <a:ext cx="2527300" cy="5270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1147423</xdr:colOff>
      <xdr:row>24</xdr:row>
      <xdr:rowOff>55702</xdr:rowOff>
    </xdr:from>
    <xdr:to>
      <xdr:col>3</xdr:col>
      <xdr:colOff>1427628</xdr:colOff>
      <xdr:row>28</xdr:row>
      <xdr:rowOff>162209</xdr:rowOff>
    </xdr:to>
    <xdr:sp macro="" textlink="">
      <xdr:nvSpPr>
        <xdr:cNvPr id="24" name="TextBox 1">
          <a:extLst>
            <a:ext uri="{FF2B5EF4-FFF2-40B4-BE49-F238E27FC236}">
              <a16:creationId xmlns:a16="http://schemas.microsoft.com/office/drawing/2014/main" id="{00000000-0008-0000-0100-000018000000}"/>
            </a:ext>
          </a:extLst>
        </xdr:cNvPr>
        <xdr:cNvSpPr txBox="1"/>
      </xdr:nvSpPr>
      <xdr:spPr>
        <a:xfrm rot="16200000">
          <a:off x="1681947" y="4855178"/>
          <a:ext cx="868507"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rPr>
            <a:t>MINOR</a:t>
          </a:r>
        </a:p>
      </xdr:txBody>
    </xdr:sp>
    <xdr:clientData/>
  </xdr:twoCellAnchor>
  <xdr:twoCellAnchor>
    <xdr:from>
      <xdr:col>12</xdr:col>
      <xdr:colOff>38099</xdr:colOff>
      <xdr:row>58</xdr:row>
      <xdr:rowOff>47626</xdr:rowOff>
    </xdr:from>
    <xdr:to>
      <xdr:col>12</xdr:col>
      <xdr:colOff>657224</xdr:colOff>
      <xdr:row>58</xdr:row>
      <xdr:rowOff>257176</xdr:rowOff>
    </xdr:to>
    <xdr:sp macro="" textlink="">
      <xdr:nvSpPr>
        <xdr:cNvPr id="16" name="Right Arrow 15">
          <a:extLst>
            <a:ext uri="{FF2B5EF4-FFF2-40B4-BE49-F238E27FC236}">
              <a16:creationId xmlns:a16="http://schemas.microsoft.com/office/drawing/2014/main" id="{00000000-0008-0000-0100-000010000000}"/>
            </a:ext>
          </a:extLst>
        </xdr:cNvPr>
        <xdr:cNvSpPr/>
      </xdr:nvSpPr>
      <xdr:spPr>
        <a:xfrm>
          <a:off x="9182099" y="9144001"/>
          <a:ext cx="619125" cy="2095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397970</xdr:colOff>
      <xdr:row>60</xdr:row>
      <xdr:rowOff>65668</xdr:rowOff>
    </xdr:from>
    <xdr:to>
      <xdr:col>12</xdr:col>
      <xdr:colOff>44238</xdr:colOff>
      <xdr:row>69</xdr:row>
      <xdr:rowOff>9231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8843470" y="5161543"/>
          <a:ext cx="1908456" cy="2047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101208</xdr:colOff>
      <xdr:row>1</xdr:row>
      <xdr:rowOff>114945</xdr:rowOff>
    </xdr:from>
    <xdr:to>
      <xdr:col>10</xdr:col>
      <xdr:colOff>375040</xdr:colOff>
      <xdr:row>6</xdr:row>
      <xdr:rowOff>1353195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flipH="1" flipV="1">
          <a:off x="7210424" y="378079"/>
          <a:ext cx="2238375" cy="2188357"/>
        </a:xfrm>
        <a:prstGeom prst="rect">
          <a:avLst/>
        </a:prstGeom>
        <a:noFill/>
        <a:ln>
          <a:noFill/>
        </a:ln>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5</xdr:col>
      <xdr:colOff>154385</xdr:colOff>
      <xdr:row>38</xdr:row>
      <xdr:rowOff>158750</xdr:rowOff>
    </xdr:from>
    <xdr:to>
      <xdr:col>6</xdr:col>
      <xdr:colOff>1210468</xdr:colOff>
      <xdr:row>42</xdr:row>
      <xdr:rowOff>7938</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4599385" y="7223125"/>
          <a:ext cx="2127646" cy="6230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clientData/>
  </xdr:twoCellAnchor>
  <xdr:twoCellAnchor>
    <xdr:from>
      <xdr:col>6</xdr:col>
      <xdr:colOff>15874</xdr:colOff>
      <xdr:row>56</xdr:row>
      <xdr:rowOff>1587</xdr:rowOff>
    </xdr:from>
    <xdr:to>
      <xdr:col>7</xdr:col>
      <xdr:colOff>133348</xdr:colOff>
      <xdr:row>57</xdr:row>
      <xdr:rowOff>190499</xdr:rowOff>
    </xdr:to>
    <xdr:sp macro="" textlink="">
      <xdr:nvSpPr>
        <xdr:cNvPr id="11" name="Rectangle 10">
          <a:extLst>
            <a:ext uri="{FF2B5EF4-FFF2-40B4-BE49-F238E27FC236}">
              <a16:creationId xmlns:a16="http://schemas.microsoft.com/office/drawing/2014/main" id="{00000000-0008-0000-0900-00000B000000}"/>
            </a:ext>
          </a:extLst>
        </xdr:cNvPr>
        <xdr:cNvSpPr/>
      </xdr:nvSpPr>
      <xdr:spPr>
        <a:xfrm>
          <a:off x="6746874" y="11002962"/>
          <a:ext cx="1943099" cy="38735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18652</xdr:colOff>
      <xdr:row>21</xdr:row>
      <xdr:rowOff>150109</xdr:rowOff>
    </xdr:from>
    <xdr:to>
      <xdr:col>3</xdr:col>
      <xdr:colOff>416718</xdr:colOff>
      <xdr:row>33</xdr:row>
      <xdr:rowOff>42467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17871" y="4168468"/>
          <a:ext cx="4069160" cy="2432358"/>
        </a:xfrm>
        <a:prstGeom prst="rect">
          <a:avLst/>
        </a:prstGeom>
        <a:ln>
          <a:solidFill>
            <a:schemeClr val="tx1"/>
          </a:solidFill>
        </a:ln>
      </xdr:spPr>
    </xdr:pic>
    <xdr:clientData/>
  </xdr:twoCellAnchor>
  <xdr:twoCellAnchor>
    <xdr:from>
      <xdr:col>3</xdr:col>
      <xdr:colOff>11906</xdr:colOff>
      <xdr:row>26</xdr:row>
      <xdr:rowOff>44846</xdr:rowOff>
    </xdr:from>
    <xdr:to>
      <xdr:col>3</xdr:col>
      <xdr:colOff>402430</xdr:colOff>
      <xdr:row>28</xdr:row>
      <xdr:rowOff>101997</xdr:rowOff>
    </xdr:to>
    <xdr:sp macro="" textlink="">
      <xdr:nvSpPr>
        <xdr:cNvPr id="3" name="Oval 2">
          <a:extLst>
            <a:ext uri="{FF2B5EF4-FFF2-40B4-BE49-F238E27FC236}">
              <a16:creationId xmlns:a16="http://schemas.microsoft.com/office/drawing/2014/main" id="{00000000-0008-0000-0900-000003000000}"/>
            </a:ext>
          </a:extLst>
        </xdr:cNvPr>
        <xdr:cNvSpPr/>
      </xdr:nvSpPr>
      <xdr:spPr>
        <a:xfrm>
          <a:off x="3782219" y="5154612"/>
          <a:ext cx="390524" cy="444104"/>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solidFill>
                <a:srgbClr val="FF0000"/>
              </a:solidFill>
            </a:rPr>
            <a:t>2</a:t>
          </a:r>
        </a:p>
      </xdr:txBody>
    </xdr:sp>
    <xdr:clientData/>
  </xdr:twoCellAnchor>
  <xdr:twoCellAnchor>
    <xdr:from>
      <xdr:col>2</xdr:col>
      <xdr:colOff>1160462</xdr:colOff>
      <xdr:row>31</xdr:row>
      <xdr:rowOff>25399</xdr:rowOff>
    </xdr:from>
    <xdr:to>
      <xdr:col>2</xdr:col>
      <xdr:colOff>1637109</xdr:colOff>
      <xdr:row>33</xdr:row>
      <xdr:rowOff>124619</xdr:rowOff>
    </xdr:to>
    <xdr:sp macro="" textlink="">
      <xdr:nvSpPr>
        <xdr:cNvPr id="4" name="Oval 3">
          <a:extLst>
            <a:ext uri="{FF2B5EF4-FFF2-40B4-BE49-F238E27FC236}">
              <a16:creationId xmlns:a16="http://schemas.microsoft.com/office/drawing/2014/main" id="{00000000-0008-0000-0900-000004000000}"/>
            </a:ext>
          </a:extLst>
        </xdr:cNvPr>
        <xdr:cNvSpPr/>
      </xdr:nvSpPr>
      <xdr:spPr>
        <a:xfrm>
          <a:off x="1765696" y="6196805"/>
          <a:ext cx="476647" cy="486173"/>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solidFill>
                <a:srgbClr val="FF0000"/>
              </a:solidFill>
            </a:rPr>
            <a:t>4</a:t>
          </a:r>
        </a:p>
      </xdr:txBody>
    </xdr:sp>
    <xdr:clientData/>
  </xdr:twoCellAnchor>
  <xdr:twoCellAnchor>
    <xdr:from>
      <xdr:col>1</xdr:col>
      <xdr:colOff>69453</xdr:colOff>
      <xdr:row>27</xdr:row>
      <xdr:rowOff>84138</xdr:rowOff>
    </xdr:from>
    <xdr:to>
      <xdr:col>2</xdr:col>
      <xdr:colOff>0</xdr:colOff>
      <xdr:row>29</xdr:row>
      <xdr:rowOff>131762</xdr:rowOff>
    </xdr:to>
    <xdr:sp macro="" textlink="">
      <xdr:nvSpPr>
        <xdr:cNvPr id="5" name="Oval 4">
          <a:extLst>
            <a:ext uri="{FF2B5EF4-FFF2-40B4-BE49-F238E27FC236}">
              <a16:creationId xmlns:a16="http://schemas.microsoft.com/office/drawing/2014/main" id="{00000000-0008-0000-0900-000005000000}"/>
            </a:ext>
          </a:extLst>
        </xdr:cNvPr>
        <xdr:cNvSpPr/>
      </xdr:nvSpPr>
      <xdr:spPr>
        <a:xfrm>
          <a:off x="168672" y="5382419"/>
          <a:ext cx="436562" cy="434577"/>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solidFill>
                <a:srgbClr val="FF0000"/>
              </a:solidFill>
            </a:rPr>
            <a:t>6</a:t>
          </a:r>
        </a:p>
      </xdr:txBody>
    </xdr:sp>
    <xdr:clientData/>
  </xdr:twoCellAnchor>
  <xdr:twoCellAnchor>
    <xdr:from>
      <xdr:col>2</xdr:col>
      <xdr:colOff>1156494</xdr:colOff>
      <xdr:row>22</xdr:row>
      <xdr:rowOff>59135</xdr:rowOff>
    </xdr:from>
    <xdr:to>
      <xdr:col>2</xdr:col>
      <xdr:colOff>1566069</xdr:colOff>
      <xdr:row>24</xdr:row>
      <xdr:rowOff>13494</xdr:rowOff>
    </xdr:to>
    <xdr:sp macro="" textlink="">
      <xdr:nvSpPr>
        <xdr:cNvPr id="6" name="Oval 5">
          <a:extLst>
            <a:ext uri="{FF2B5EF4-FFF2-40B4-BE49-F238E27FC236}">
              <a16:creationId xmlns:a16="http://schemas.microsoft.com/office/drawing/2014/main" id="{00000000-0008-0000-0900-000006000000}"/>
            </a:ext>
          </a:extLst>
        </xdr:cNvPr>
        <xdr:cNvSpPr/>
      </xdr:nvSpPr>
      <xdr:spPr>
        <a:xfrm>
          <a:off x="1761728" y="4275932"/>
          <a:ext cx="409575" cy="381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solidFill>
                <a:srgbClr val="FF0000"/>
              </a:solidFill>
            </a:rPr>
            <a:t>8</a:t>
          </a:r>
        </a:p>
      </xdr:txBody>
    </xdr:sp>
    <xdr:clientData/>
  </xdr:twoCellAnchor>
  <xdr:twoCellAnchor>
    <xdr:from>
      <xdr:col>7</xdr:col>
      <xdr:colOff>166688</xdr:colOff>
      <xdr:row>50</xdr:row>
      <xdr:rowOff>28574</xdr:rowOff>
    </xdr:from>
    <xdr:to>
      <xdr:col>9</xdr:col>
      <xdr:colOff>19049</xdr:colOff>
      <xdr:row>53</xdr:row>
      <xdr:rowOff>190500</xdr:rowOff>
    </xdr:to>
    <xdr:sp macro="" textlink="">
      <xdr:nvSpPr>
        <xdr:cNvPr id="7" name="Left Brace 6">
          <a:extLst>
            <a:ext uri="{FF2B5EF4-FFF2-40B4-BE49-F238E27FC236}">
              <a16:creationId xmlns:a16="http://schemas.microsoft.com/office/drawing/2014/main" id="{00000000-0008-0000-0900-000007000000}"/>
            </a:ext>
          </a:extLst>
        </xdr:cNvPr>
        <xdr:cNvSpPr/>
      </xdr:nvSpPr>
      <xdr:spPr>
        <a:xfrm>
          <a:off x="8723313" y="9815512"/>
          <a:ext cx="360361" cy="773113"/>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266701</xdr:colOff>
      <xdr:row>54</xdr:row>
      <xdr:rowOff>19051</xdr:rowOff>
    </xdr:from>
    <xdr:to>
      <xdr:col>7</xdr:col>
      <xdr:colOff>504825</xdr:colOff>
      <xdr:row>58</xdr:row>
      <xdr:rowOff>28576</xdr:rowOff>
    </xdr:to>
    <xdr:sp macro="" textlink="">
      <xdr:nvSpPr>
        <xdr:cNvPr id="10" name="Left Brace 9">
          <a:extLst>
            <a:ext uri="{FF2B5EF4-FFF2-40B4-BE49-F238E27FC236}">
              <a16:creationId xmlns:a16="http://schemas.microsoft.com/office/drawing/2014/main" id="{00000000-0008-0000-0900-00000A000000}"/>
            </a:ext>
          </a:extLst>
        </xdr:cNvPr>
        <xdr:cNvSpPr/>
      </xdr:nvSpPr>
      <xdr:spPr>
        <a:xfrm>
          <a:off x="6219826" y="9915526"/>
          <a:ext cx="238124" cy="81915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1389061</xdr:colOff>
      <xdr:row>38</xdr:row>
      <xdr:rowOff>38893</xdr:rowOff>
    </xdr:from>
    <xdr:to>
      <xdr:col>8</xdr:col>
      <xdr:colOff>158750</xdr:colOff>
      <xdr:row>41</xdr:row>
      <xdr:rowOff>168672</xdr:rowOff>
    </xdr:to>
    <xdr:sp macro="" textlink="">
      <xdr:nvSpPr>
        <xdr:cNvPr id="17" name="Left Brace 16">
          <a:extLst>
            <a:ext uri="{FF2B5EF4-FFF2-40B4-BE49-F238E27FC236}">
              <a16:creationId xmlns:a16="http://schemas.microsoft.com/office/drawing/2014/main" id="{00000000-0008-0000-0900-000011000000}"/>
            </a:ext>
          </a:extLst>
        </xdr:cNvPr>
        <xdr:cNvSpPr/>
      </xdr:nvSpPr>
      <xdr:spPr>
        <a:xfrm>
          <a:off x="6984999" y="7321549"/>
          <a:ext cx="962423" cy="715170"/>
        </a:xfrm>
        <a:prstGeom prst="leftBrace">
          <a:avLst>
            <a:gd name="adj1" fmla="val 8333"/>
            <a:gd name="adj2" fmla="val 51250"/>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1304372</xdr:colOff>
      <xdr:row>26</xdr:row>
      <xdr:rowOff>69859</xdr:rowOff>
    </xdr:from>
    <xdr:to>
      <xdr:col>2</xdr:col>
      <xdr:colOff>1529425</xdr:colOff>
      <xdr:row>27</xdr:row>
      <xdr:rowOff>116335</xdr:rowOff>
    </xdr:to>
    <xdr:pic>
      <xdr:nvPicPr>
        <xdr:cNvPr id="29" name="Picture 28" descr="Glossy Traffic Signal Light by ab-cs-center on DeviantArt">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9606" y="5179625"/>
          <a:ext cx="225053" cy="244913"/>
        </a:xfrm>
        <a:prstGeom prst="rect">
          <a:avLst/>
        </a:prstGeom>
      </xdr:spPr>
    </xdr:pic>
    <xdr:clientData/>
  </xdr:twoCellAnchor>
  <xdr:twoCellAnchor editAs="oneCell">
    <xdr:from>
      <xdr:col>2</xdr:col>
      <xdr:colOff>1268810</xdr:colOff>
      <xdr:row>28</xdr:row>
      <xdr:rowOff>90576</xdr:rowOff>
    </xdr:from>
    <xdr:to>
      <xdr:col>2</xdr:col>
      <xdr:colOff>1493863</xdr:colOff>
      <xdr:row>29</xdr:row>
      <xdr:rowOff>137052</xdr:rowOff>
    </xdr:to>
    <xdr:pic>
      <xdr:nvPicPr>
        <xdr:cNvPr id="19" name="Picture 18" descr="Glossy Traffic Signal Light by ab-cs-center on DeviantArt">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044" y="5339248"/>
          <a:ext cx="225053" cy="244913"/>
        </a:xfrm>
        <a:prstGeom prst="rect">
          <a:avLst/>
        </a:prstGeom>
      </xdr:spPr>
    </xdr:pic>
    <xdr:clientData/>
  </xdr:twoCellAnchor>
  <xdr:twoCellAnchor editAs="oneCell">
    <xdr:from>
      <xdr:col>2</xdr:col>
      <xdr:colOff>37725</xdr:colOff>
      <xdr:row>28</xdr:row>
      <xdr:rowOff>86690</xdr:rowOff>
    </xdr:from>
    <xdr:to>
      <xdr:col>2</xdr:col>
      <xdr:colOff>258659</xdr:colOff>
      <xdr:row>29</xdr:row>
      <xdr:rowOff>152263</xdr:rowOff>
    </xdr:to>
    <xdr:pic>
      <xdr:nvPicPr>
        <xdr:cNvPr id="23" name="Picture 22" descr="Glossy Traffic Signal Light by ab-cs-center on DeviantArt">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2959" y="5305596"/>
          <a:ext cx="220934" cy="264010"/>
        </a:xfrm>
        <a:prstGeom prst="rect">
          <a:avLst/>
        </a:prstGeom>
      </xdr:spPr>
    </xdr:pic>
    <xdr:clientData/>
  </xdr:twoCellAnchor>
  <xdr:twoCellAnchor editAs="oneCell">
    <xdr:from>
      <xdr:col>2</xdr:col>
      <xdr:colOff>2820614</xdr:colOff>
      <xdr:row>26</xdr:row>
      <xdr:rowOff>75026</xdr:rowOff>
    </xdr:from>
    <xdr:to>
      <xdr:col>2</xdr:col>
      <xdr:colOff>3045667</xdr:colOff>
      <xdr:row>27</xdr:row>
      <xdr:rowOff>130675</xdr:rowOff>
    </xdr:to>
    <xdr:pic>
      <xdr:nvPicPr>
        <xdr:cNvPr id="24" name="Picture 23" descr="Glossy Traffic Signal Light by ab-cs-center on DeviantArt">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5848" y="5184792"/>
          <a:ext cx="225053" cy="254086"/>
        </a:xfrm>
        <a:prstGeom prst="rect">
          <a:avLst/>
        </a:prstGeom>
      </xdr:spPr>
    </xdr:pic>
    <xdr:clientData/>
  </xdr:twoCellAnchor>
  <xdr:twoCellAnchor editAs="oneCell">
    <xdr:from>
      <xdr:col>2</xdr:col>
      <xdr:colOff>1258887</xdr:colOff>
      <xdr:row>28</xdr:row>
      <xdr:rowOff>130263</xdr:rowOff>
    </xdr:from>
    <xdr:to>
      <xdr:col>2</xdr:col>
      <xdr:colOff>1483940</xdr:colOff>
      <xdr:row>29</xdr:row>
      <xdr:rowOff>176739</xdr:rowOff>
    </xdr:to>
    <xdr:pic>
      <xdr:nvPicPr>
        <xdr:cNvPr id="26" name="Picture 25" descr="Glossy Traffic Signal Light by ab-cs-center on DeviantArt">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4121" y="5349169"/>
          <a:ext cx="225053" cy="244913"/>
        </a:xfrm>
        <a:prstGeom prst="rect">
          <a:avLst/>
        </a:prstGeom>
      </xdr:spPr>
    </xdr:pic>
    <xdr:clientData/>
  </xdr:twoCellAnchor>
  <xdr:twoCellAnchor>
    <xdr:from>
      <xdr:col>5</xdr:col>
      <xdr:colOff>269311</xdr:colOff>
      <xdr:row>22</xdr:row>
      <xdr:rowOff>192767</xdr:rowOff>
    </xdr:from>
    <xdr:to>
      <xdr:col>5</xdr:col>
      <xdr:colOff>1020540</xdr:colOff>
      <xdr:row>24</xdr:row>
      <xdr:rowOff>119063</xdr:rowOff>
    </xdr:to>
    <xdr:sp macro="" textlink="" fLocksText="0">
      <xdr:nvSpPr>
        <xdr:cNvPr id="30" name="Up Arrow 29">
          <a:extLst>
            <a:ext uri="{FF2B5EF4-FFF2-40B4-BE49-F238E27FC236}">
              <a16:creationId xmlns:a16="http://schemas.microsoft.com/office/drawing/2014/main" id="{00000000-0008-0000-0900-00001E000000}"/>
            </a:ext>
          </a:extLst>
        </xdr:cNvPr>
        <xdr:cNvSpPr/>
      </xdr:nvSpPr>
      <xdr:spPr>
        <a:xfrm rot="16200000">
          <a:off x="6243319" y="4251759"/>
          <a:ext cx="360213" cy="751229"/>
        </a:xfrm>
        <a:prstGeom prst="upArrow">
          <a:avLst/>
        </a:prstGeom>
        <a:solidFill>
          <a:srgbClr val="FF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rgbClr val="FF0000"/>
            </a:solidFill>
          </a:endParaRPr>
        </a:p>
      </xdr:txBody>
    </xdr:sp>
    <xdr:clientData fLocksWithSheet="0"/>
  </xdr:twoCellAnchor>
  <xdr:twoCellAnchor>
    <xdr:from>
      <xdr:col>4</xdr:col>
      <xdr:colOff>0</xdr:colOff>
      <xdr:row>24</xdr:row>
      <xdr:rowOff>249464</xdr:rowOff>
    </xdr:from>
    <xdr:to>
      <xdr:col>5</xdr:col>
      <xdr:colOff>1862667</xdr:colOff>
      <xdr:row>27</xdr:row>
      <xdr:rowOff>22679</xdr:rowOff>
    </xdr:to>
    <xdr:sp macro="" textlink="">
      <xdr:nvSpPr>
        <xdr:cNvPr id="31" name="Rounded Rectangle 30">
          <a:extLst>
            <a:ext uri="{FF2B5EF4-FFF2-40B4-BE49-F238E27FC236}">
              <a16:creationId xmlns:a16="http://schemas.microsoft.com/office/drawing/2014/main" id="{00000000-0008-0000-0900-00001F000000}"/>
            </a:ext>
          </a:extLst>
        </xdr:cNvPr>
        <xdr:cNvSpPr/>
      </xdr:nvSpPr>
      <xdr:spPr>
        <a:xfrm>
          <a:off x="5005917" y="4937881"/>
          <a:ext cx="2635250" cy="42938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641746</xdr:colOff>
      <xdr:row>22</xdr:row>
      <xdr:rowOff>177868</xdr:rowOff>
    </xdr:from>
    <xdr:to>
      <xdr:col>19</xdr:col>
      <xdr:colOff>489440</xdr:colOff>
      <xdr:row>30</xdr:row>
      <xdr:rowOff>194976</xdr:rowOff>
    </xdr:to>
    <xdr:pic>
      <xdr:nvPicPr>
        <xdr:cNvPr id="21" name="Picture 20">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866246" y="4432368"/>
          <a:ext cx="2006694" cy="1742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21</xdr:row>
      <xdr:rowOff>133351</xdr:rowOff>
    </xdr:from>
    <xdr:to>
      <xdr:col>3</xdr:col>
      <xdr:colOff>476250</xdr:colOff>
      <xdr:row>30</xdr:row>
      <xdr:rowOff>73115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19100" y="4076701"/>
          <a:ext cx="4229100" cy="1920964"/>
        </a:xfrm>
        <a:prstGeom prst="rect">
          <a:avLst/>
        </a:prstGeom>
        <a:ln>
          <a:solidFill>
            <a:sysClr val="windowText" lastClr="000000"/>
          </a:solidFill>
        </a:ln>
      </xdr:spPr>
    </xdr:pic>
    <xdr:clientData/>
  </xdr:twoCellAnchor>
  <xdr:twoCellAnchor>
    <xdr:from>
      <xdr:col>3</xdr:col>
      <xdr:colOff>342899</xdr:colOff>
      <xdr:row>24</xdr:row>
      <xdr:rowOff>66674</xdr:rowOff>
    </xdr:from>
    <xdr:to>
      <xdr:col>4</xdr:col>
      <xdr:colOff>285749</xdr:colOff>
      <xdr:row>26</xdr:row>
      <xdr:rowOff>114300</xdr:rowOff>
    </xdr:to>
    <xdr:sp macro="" textlink="">
      <xdr:nvSpPr>
        <xdr:cNvPr id="3" name="Oval 2">
          <a:extLst>
            <a:ext uri="{FF2B5EF4-FFF2-40B4-BE49-F238E27FC236}">
              <a16:creationId xmlns:a16="http://schemas.microsoft.com/office/drawing/2014/main" id="{00000000-0008-0000-0A00-000003000000}"/>
            </a:ext>
          </a:extLst>
        </xdr:cNvPr>
        <xdr:cNvSpPr/>
      </xdr:nvSpPr>
      <xdr:spPr>
        <a:xfrm>
          <a:off x="4514849" y="4638674"/>
          <a:ext cx="552450" cy="49530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2</xdr:col>
      <xdr:colOff>1181099</xdr:colOff>
      <xdr:row>29</xdr:row>
      <xdr:rowOff>76199</xdr:rowOff>
    </xdr:from>
    <xdr:to>
      <xdr:col>2</xdr:col>
      <xdr:colOff>1704975</xdr:colOff>
      <xdr:row>31</xdr:row>
      <xdr:rowOff>180975</xdr:rowOff>
    </xdr:to>
    <xdr:sp macro="" textlink="">
      <xdr:nvSpPr>
        <xdr:cNvPr id="4" name="Oval 3">
          <a:extLst>
            <a:ext uri="{FF2B5EF4-FFF2-40B4-BE49-F238E27FC236}">
              <a16:creationId xmlns:a16="http://schemas.microsoft.com/office/drawing/2014/main" id="{00000000-0008-0000-0A00-000004000000}"/>
            </a:ext>
          </a:extLst>
        </xdr:cNvPr>
        <xdr:cNvSpPr/>
      </xdr:nvSpPr>
      <xdr:spPr>
        <a:xfrm>
          <a:off x="2095499" y="5791199"/>
          <a:ext cx="523876" cy="5143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0</xdr:col>
      <xdr:colOff>1</xdr:colOff>
      <xdr:row>24</xdr:row>
      <xdr:rowOff>171450</xdr:rowOff>
    </xdr:from>
    <xdr:to>
      <xdr:col>1</xdr:col>
      <xdr:colOff>171451</xdr:colOff>
      <xdr:row>26</xdr:row>
      <xdr:rowOff>219075</xdr:rowOff>
    </xdr:to>
    <xdr:sp macro="" textlink="">
      <xdr:nvSpPr>
        <xdr:cNvPr id="5" name="Oval 4">
          <a:extLst>
            <a:ext uri="{FF2B5EF4-FFF2-40B4-BE49-F238E27FC236}">
              <a16:creationId xmlns:a16="http://schemas.microsoft.com/office/drawing/2014/main" id="{00000000-0008-0000-0A00-000005000000}"/>
            </a:ext>
          </a:extLst>
        </xdr:cNvPr>
        <xdr:cNvSpPr/>
      </xdr:nvSpPr>
      <xdr:spPr>
        <a:xfrm>
          <a:off x="1" y="4743450"/>
          <a:ext cx="476250" cy="4953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2</xdr:col>
      <xdr:colOff>1219198</xdr:colOff>
      <xdr:row>21</xdr:row>
      <xdr:rowOff>123824</xdr:rowOff>
    </xdr:from>
    <xdr:to>
      <xdr:col>2</xdr:col>
      <xdr:colOff>1685923</xdr:colOff>
      <xdr:row>23</xdr:row>
      <xdr:rowOff>142875</xdr:rowOff>
    </xdr:to>
    <xdr:sp macro="" textlink="">
      <xdr:nvSpPr>
        <xdr:cNvPr id="6" name="Oval 5">
          <a:extLst>
            <a:ext uri="{FF2B5EF4-FFF2-40B4-BE49-F238E27FC236}">
              <a16:creationId xmlns:a16="http://schemas.microsoft.com/office/drawing/2014/main" id="{00000000-0008-0000-0A00-000006000000}"/>
            </a:ext>
          </a:extLst>
        </xdr:cNvPr>
        <xdr:cNvSpPr/>
      </xdr:nvSpPr>
      <xdr:spPr>
        <a:xfrm>
          <a:off x="2133598" y="4067174"/>
          <a:ext cx="466725" cy="45720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7</xdr:col>
      <xdr:colOff>95251</xdr:colOff>
      <xdr:row>66</xdr:row>
      <xdr:rowOff>38100</xdr:rowOff>
    </xdr:from>
    <xdr:to>
      <xdr:col>8</xdr:col>
      <xdr:colOff>85725</xdr:colOff>
      <xdr:row>68</xdr:row>
      <xdr:rowOff>161925</xdr:rowOff>
    </xdr:to>
    <xdr:sp macro="" textlink="">
      <xdr:nvSpPr>
        <xdr:cNvPr id="8" name="Left Brace 7">
          <a:extLst>
            <a:ext uri="{FF2B5EF4-FFF2-40B4-BE49-F238E27FC236}">
              <a16:creationId xmlns:a16="http://schemas.microsoft.com/office/drawing/2014/main" id="{00000000-0008-0000-0A00-000008000000}"/>
            </a:ext>
          </a:extLst>
        </xdr:cNvPr>
        <xdr:cNvSpPr/>
      </xdr:nvSpPr>
      <xdr:spPr>
        <a:xfrm>
          <a:off x="6191251" y="13030200"/>
          <a:ext cx="466724" cy="53340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133350</xdr:colOff>
      <xdr:row>69</xdr:row>
      <xdr:rowOff>47626</xdr:rowOff>
    </xdr:from>
    <xdr:to>
      <xdr:col>8</xdr:col>
      <xdr:colOff>95250</xdr:colOff>
      <xdr:row>71</xdr:row>
      <xdr:rowOff>190500</xdr:rowOff>
    </xdr:to>
    <xdr:sp macro="" textlink="">
      <xdr:nvSpPr>
        <xdr:cNvPr id="9" name="Left Brace 8">
          <a:extLst>
            <a:ext uri="{FF2B5EF4-FFF2-40B4-BE49-F238E27FC236}">
              <a16:creationId xmlns:a16="http://schemas.microsoft.com/office/drawing/2014/main" id="{00000000-0008-0000-0A00-000009000000}"/>
            </a:ext>
          </a:extLst>
        </xdr:cNvPr>
        <xdr:cNvSpPr/>
      </xdr:nvSpPr>
      <xdr:spPr>
        <a:xfrm>
          <a:off x="6229350" y="13658851"/>
          <a:ext cx="438150" cy="561974"/>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1381124</xdr:colOff>
      <xdr:row>25</xdr:row>
      <xdr:rowOff>180975</xdr:rowOff>
    </xdr:from>
    <xdr:to>
      <xdr:col>2</xdr:col>
      <xdr:colOff>1606177</xdr:colOff>
      <xdr:row>26</xdr:row>
      <xdr:rowOff>196936</xdr:rowOff>
    </xdr:to>
    <xdr:pic>
      <xdr:nvPicPr>
        <xdr:cNvPr id="10" name="Picture 9" descr="Glossy Traffic Signal Light by ab-cs-center on DeviantArt">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5524" y="4962525"/>
          <a:ext cx="225053" cy="254086"/>
        </a:xfrm>
        <a:prstGeom prst="rect">
          <a:avLst/>
        </a:prstGeom>
      </xdr:spPr>
    </xdr:pic>
    <xdr:clientData/>
  </xdr:twoCellAnchor>
  <xdr:twoCellAnchor editAs="oneCell">
    <xdr:from>
      <xdr:col>3</xdr:col>
      <xdr:colOff>28574</xdr:colOff>
      <xdr:row>24</xdr:row>
      <xdr:rowOff>161925</xdr:rowOff>
    </xdr:from>
    <xdr:to>
      <xdr:col>3</xdr:col>
      <xdr:colOff>253627</xdr:colOff>
      <xdr:row>25</xdr:row>
      <xdr:rowOff>206461</xdr:rowOff>
    </xdr:to>
    <xdr:pic>
      <xdr:nvPicPr>
        <xdr:cNvPr id="11" name="Picture 10" descr="Glossy Traffic Signal Light by ab-cs-center on DeviantArt">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4" y="4733925"/>
          <a:ext cx="225053" cy="254086"/>
        </a:xfrm>
        <a:prstGeom prst="rect">
          <a:avLst/>
        </a:prstGeom>
      </xdr:spPr>
    </xdr:pic>
    <xdr:clientData/>
  </xdr:twoCellAnchor>
  <xdr:twoCellAnchor editAs="oneCell">
    <xdr:from>
      <xdr:col>1</xdr:col>
      <xdr:colOff>76199</xdr:colOff>
      <xdr:row>26</xdr:row>
      <xdr:rowOff>152400</xdr:rowOff>
    </xdr:from>
    <xdr:to>
      <xdr:col>1</xdr:col>
      <xdr:colOff>301252</xdr:colOff>
      <xdr:row>27</xdr:row>
      <xdr:rowOff>158836</xdr:rowOff>
    </xdr:to>
    <xdr:pic>
      <xdr:nvPicPr>
        <xdr:cNvPr id="12" name="Picture 11" descr="Glossy Traffic Signal Light by ab-cs-center on DeviantArt">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0999" y="5172075"/>
          <a:ext cx="225053" cy="254086"/>
        </a:xfrm>
        <a:prstGeom prst="rect">
          <a:avLst/>
        </a:prstGeom>
      </xdr:spPr>
    </xdr:pic>
    <xdr:clientData/>
  </xdr:twoCellAnchor>
  <xdr:twoCellAnchor>
    <xdr:from>
      <xdr:col>5</xdr:col>
      <xdr:colOff>75208</xdr:colOff>
      <xdr:row>25</xdr:row>
      <xdr:rowOff>218480</xdr:rowOff>
    </xdr:from>
    <xdr:to>
      <xdr:col>6</xdr:col>
      <xdr:colOff>56159</xdr:colOff>
      <xdr:row>27</xdr:row>
      <xdr:rowOff>596</xdr:rowOff>
    </xdr:to>
    <xdr:sp macro="" textlink="">
      <xdr:nvSpPr>
        <xdr:cNvPr id="14" name="Up Arrow 13">
          <a:extLst>
            <a:ext uri="{FF2B5EF4-FFF2-40B4-BE49-F238E27FC236}">
              <a16:creationId xmlns:a16="http://schemas.microsoft.com/office/drawing/2014/main" id="{00000000-0008-0000-0A00-00000E000000}"/>
            </a:ext>
          </a:extLst>
        </xdr:cNvPr>
        <xdr:cNvSpPr/>
      </xdr:nvSpPr>
      <xdr:spPr>
        <a:xfrm rot="16200000">
          <a:off x="6573471" y="4964601"/>
          <a:ext cx="280347" cy="557336"/>
        </a:xfrm>
        <a:prstGeom prst="upArrow">
          <a:avLst/>
        </a:prstGeom>
        <a:solidFill>
          <a:srgbClr val="FF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rgbClr val="FF0000"/>
            </a:solidFill>
          </a:endParaRPr>
        </a:p>
      </xdr:txBody>
    </xdr:sp>
    <xdr:clientData fLocksWithSheet="0"/>
  </xdr:twoCellAnchor>
  <xdr:twoCellAnchor>
    <xdr:from>
      <xdr:col>4</xdr:col>
      <xdr:colOff>9525</xdr:colOff>
      <xdr:row>28</xdr:row>
      <xdr:rowOff>15080</xdr:rowOff>
    </xdr:from>
    <xdr:to>
      <xdr:col>8</xdr:col>
      <xdr:colOff>142875</xdr:colOff>
      <xdr:row>30</xdr:row>
      <xdr:rowOff>66675</xdr:rowOff>
    </xdr:to>
    <xdr:sp macro="" textlink="">
      <xdr:nvSpPr>
        <xdr:cNvPr id="15" name="Rounded Rectangle 14">
          <a:extLst>
            <a:ext uri="{FF2B5EF4-FFF2-40B4-BE49-F238E27FC236}">
              <a16:creationId xmlns:a16="http://schemas.microsoft.com/office/drawing/2014/main" id="{00000000-0008-0000-0A00-00000F000000}"/>
            </a:ext>
          </a:extLst>
        </xdr:cNvPr>
        <xdr:cNvSpPr/>
      </xdr:nvSpPr>
      <xdr:spPr>
        <a:xfrm>
          <a:off x="4791075" y="5491955"/>
          <a:ext cx="2581275" cy="49927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272823</xdr:colOff>
      <xdr:row>20</xdr:row>
      <xdr:rowOff>187100</xdr:rowOff>
    </xdr:from>
    <xdr:to>
      <xdr:col>4</xdr:col>
      <xdr:colOff>272143</xdr:colOff>
      <xdr:row>27</xdr:row>
      <xdr:rowOff>170344</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a:stretch>
          <a:fillRect/>
        </a:stretch>
      </xdr:blipFill>
      <xdr:spPr>
        <a:xfrm>
          <a:off x="425903" y="3946073"/>
          <a:ext cx="4302579" cy="1556570"/>
        </a:xfrm>
        <a:prstGeom prst="rect">
          <a:avLst/>
        </a:prstGeom>
      </xdr:spPr>
    </xdr:pic>
    <xdr:clientData/>
  </xdr:twoCellAnchor>
  <xdr:twoCellAnchor>
    <xdr:from>
      <xdr:col>4</xdr:col>
      <xdr:colOff>76182</xdr:colOff>
      <xdr:row>23</xdr:row>
      <xdr:rowOff>83106</xdr:rowOff>
    </xdr:from>
    <xdr:to>
      <xdr:col>4</xdr:col>
      <xdr:colOff>624559</xdr:colOff>
      <xdr:row>25</xdr:row>
      <xdr:rowOff>183956</xdr:rowOff>
    </xdr:to>
    <xdr:sp macro="" textlink="">
      <xdr:nvSpPr>
        <xdr:cNvPr id="3" name="Oval 2">
          <a:extLst>
            <a:ext uri="{FF2B5EF4-FFF2-40B4-BE49-F238E27FC236}">
              <a16:creationId xmlns:a16="http://schemas.microsoft.com/office/drawing/2014/main" id="{00000000-0008-0000-0B00-000003000000}"/>
            </a:ext>
          </a:extLst>
        </xdr:cNvPr>
        <xdr:cNvSpPr/>
      </xdr:nvSpPr>
      <xdr:spPr>
        <a:xfrm>
          <a:off x="4532521" y="4522436"/>
          <a:ext cx="548377" cy="50056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2</xdr:col>
      <xdr:colOff>1367858</xdr:colOff>
      <xdr:row>27</xdr:row>
      <xdr:rowOff>57148</xdr:rowOff>
    </xdr:from>
    <xdr:to>
      <xdr:col>2</xdr:col>
      <xdr:colOff>1896495</xdr:colOff>
      <xdr:row>29</xdr:row>
      <xdr:rowOff>68036</xdr:rowOff>
    </xdr:to>
    <xdr:sp macro="" textlink="">
      <xdr:nvSpPr>
        <xdr:cNvPr id="4" name="Oval 3">
          <a:extLst>
            <a:ext uri="{FF2B5EF4-FFF2-40B4-BE49-F238E27FC236}">
              <a16:creationId xmlns:a16="http://schemas.microsoft.com/office/drawing/2014/main" id="{00000000-0008-0000-0B00-000004000000}"/>
            </a:ext>
          </a:extLst>
        </xdr:cNvPr>
        <xdr:cNvSpPr/>
      </xdr:nvSpPr>
      <xdr:spPr>
        <a:xfrm>
          <a:off x="2243818" y="5389447"/>
          <a:ext cx="528637" cy="45312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0</xdr:col>
      <xdr:colOff>85045</xdr:colOff>
      <xdr:row>23</xdr:row>
      <xdr:rowOff>39435</xdr:rowOff>
    </xdr:from>
    <xdr:to>
      <xdr:col>1</xdr:col>
      <xdr:colOff>365692</xdr:colOff>
      <xdr:row>25</xdr:row>
      <xdr:rowOff>115350</xdr:rowOff>
    </xdr:to>
    <xdr:sp macro="" textlink="">
      <xdr:nvSpPr>
        <xdr:cNvPr id="5" name="Oval 4">
          <a:extLst>
            <a:ext uri="{FF2B5EF4-FFF2-40B4-BE49-F238E27FC236}">
              <a16:creationId xmlns:a16="http://schemas.microsoft.com/office/drawing/2014/main" id="{00000000-0008-0000-0B00-000005000000}"/>
            </a:ext>
          </a:extLst>
        </xdr:cNvPr>
        <xdr:cNvSpPr/>
      </xdr:nvSpPr>
      <xdr:spPr>
        <a:xfrm>
          <a:off x="85045" y="4478765"/>
          <a:ext cx="433727" cy="47562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2</xdr:col>
      <xdr:colOff>1430449</xdr:colOff>
      <xdr:row>20</xdr:row>
      <xdr:rowOff>339</xdr:rowOff>
    </xdr:from>
    <xdr:to>
      <xdr:col>2</xdr:col>
      <xdr:colOff>1897174</xdr:colOff>
      <xdr:row>21</xdr:row>
      <xdr:rowOff>207168</xdr:rowOff>
    </xdr:to>
    <xdr:sp macro="" textlink="">
      <xdr:nvSpPr>
        <xdr:cNvPr id="6" name="Oval 5">
          <a:extLst>
            <a:ext uri="{FF2B5EF4-FFF2-40B4-BE49-F238E27FC236}">
              <a16:creationId xmlns:a16="http://schemas.microsoft.com/office/drawing/2014/main" id="{00000000-0008-0000-0B00-000006000000}"/>
            </a:ext>
          </a:extLst>
        </xdr:cNvPr>
        <xdr:cNvSpPr/>
      </xdr:nvSpPr>
      <xdr:spPr>
        <a:xfrm>
          <a:off x="2306409" y="3759312"/>
          <a:ext cx="466725" cy="453459"/>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7</xdr:col>
      <xdr:colOff>68262</xdr:colOff>
      <xdr:row>69</xdr:row>
      <xdr:rowOff>7937</xdr:rowOff>
    </xdr:from>
    <xdr:to>
      <xdr:col>7</xdr:col>
      <xdr:colOff>349250</xdr:colOff>
      <xdr:row>72</xdr:row>
      <xdr:rowOff>150812</xdr:rowOff>
    </xdr:to>
    <xdr:sp macro="" textlink="">
      <xdr:nvSpPr>
        <xdr:cNvPr id="8" name="Left Brace 7">
          <a:extLst>
            <a:ext uri="{FF2B5EF4-FFF2-40B4-BE49-F238E27FC236}">
              <a16:creationId xmlns:a16="http://schemas.microsoft.com/office/drawing/2014/main" id="{00000000-0008-0000-0B00-000008000000}"/>
            </a:ext>
          </a:extLst>
        </xdr:cNvPr>
        <xdr:cNvSpPr/>
      </xdr:nvSpPr>
      <xdr:spPr>
        <a:xfrm>
          <a:off x="6489700" y="13533437"/>
          <a:ext cx="280988" cy="738188"/>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158750</xdr:colOff>
      <xdr:row>73</xdr:row>
      <xdr:rowOff>1</xdr:rowOff>
    </xdr:from>
    <xdr:to>
      <xdr:col>7</xdr:col>
      <xdr:colOff>317500</xdr:colOff>
      <xdr:row>76</xdr:row>
      <xdr:rowOff>182564</xdr:rowOff>
    </xdr:to>
    <xdr:sp macro="" textlink="">
      <xdr:nvSpPr>
        <xdr:cNvPr id="9" name="Left Brace 8">
          <a:extLst>
            <a:ext uri="{FF2B5EF4-FFF2-40B4-BE49-F238E27FC236}">
              <a16:creationId xmlns:a16="http://schemas.microsoft.com/office/drawing/2014/main" id="{00000000-0008-0000-0B00-000009000000}"/>
            </a:ext>
          </a:extLst>
        </xdr:cNvPr>
        <xdr:cNvSpPr/>
      </xdr:nvSpPr>
      <xdr:spPr>
        <a:xfrm>
          <a:off x="6580188" y="14327189"/>
          <a:ext cx="158750" cy="79375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1586254</xdr:colOff>
      <xdr:row>24</xdr:row>
      <xdr:rowOff>25511</xdr:rowOff>
    </xdr:from>
    <xdr:to>
      <xdr:col>2</xdr:col>
      <xdr:colOff>1746068</xdr:colOff>
      <xdr:row>25</xdr:row>
      <xdr:rowOff>2465</xdr:rowOff>
    </xdr:to>
    <xdr:pic>
      <xdr:nvPicPr>
        <xdr:cNvPr id="10" name="Picture 9" descr="Glossy Traffic Signal Light by ab-cs-center on DeviantArt">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2214" y="4651940"/>
          <a:ext cx="159814" cy="183329"/>
        </a:xfrm>
        <a:prstGeom prst="rect">
          <a:avLst/>
        </a:prstGeom>
      </xdr:spPr>
    </xdr:pic>
    <xdr:clientData/>
  </xdr:twoCellAnchor>
  <xdr:twoCellAnchor editAs="oneCell">
    <xdr:from>
      <xdr:col>3</xdr:col>
      <xdr:colOff>591569</xdr:colOff>
      <xdr:row>23</xdr:row>
      <xdr:rowOff>183356</xdr:rowOff>
    </xdr:from>
    <xdr:to>
      <xdr:col>4</xdr:col>
      <xdr:colOff>68229</xdr:colOff>
      <xdr:row>25</xdr:row>
      <xdr:rowOff>36711</xdr:rowOff>
    </xdr:to>
    <xdr:pic>
      <xdr:nvPicPr>
        <xdr:cNvPr id="11" name="Picture 10" descr="Glossy Traffic Signal Light by ab-cs-center on DeviantArt">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99515" y="4622686"/>
          <a:ext cx="225053" cy="253065"/>
        </a:xfrm>
        <a:prstGeom prst="rect">
          <a:avLst/>
        </a:prstGeom>
      </xdr:spPr>
    </xdr:pic>
    <xdr:clientData/>
  </xdr:twoCellAnchor>
  <xdr:twoCellAnchor editAs="oneCell">
    <xdr:from>
      <xdr:col>1</xdr:col>
      <xdr:colOff>540542</xdr:colOff>
      <xdr:row>24</xdr:row>
      <xdr:rowOff>10885</xdr:rowOff>
    </xdr:from>
    <xdr:to>
      <xdr:col>2</xdr:col>
      <xdr:colOff>42715</xdr:colOff>
      <xdr:row>25</xdr:row>
      <xdr:rowOff>52360</xdr:rowOff>
    </xdr:to>
    <xdr:pic>
      <xdr:nvPicPr>
        <xdr:cNvPr id="12" name="Picture 11" descr="Glossy Traffic Signal Light by ab-cs-center on DeviantArt">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3622" y="4637314"/>
          <a:ext cx="225053" cy="254086"/>
        </a:xfrm>
        <a:prstGeom prst="rect">
          <a:avLst/>
        </a:prstGeom>
      </xdr:spPr>
    </xdr:pic>
    <xdr:clientData/>
  </xdr:twoCellAnchor>
  <xdr:twoCellAnchor editAs="oneCell">
    <xdr:from>
      <xdr:col>8</xdr:col>
      <xdr:colOff>0</xdr:colOff>
      <xdr:row>21</xdr:row>
      <xdr:rowOff>0</xdr:rowOff>
    </xdr:from>
    <xdr:to>
      <xdr:col>8</xdr:col>
      <xdr:colOff>304800</xdr:colOff>
      <xdr:row>22</xdr:row>
      <xdr:rowOff>57150</xdr:rowOff>
    </xdr:to>
    <xdr:sp macro="" textlink="">
      <xdr:nvSpPr>
        <xdr:cNvPr id="5121" name="AutoShape 1" descr="data:image/png;base64,iVBORw0KGgoAAAANSUhEUgAAAwsAAAEfCAYAAAAOfloeAAAAAXNSR0IArs4c6QAAAARnQU1BAACxjwv8YQUAAAAJcEhZcwAADsMAAA7DAcdvqGQAAFG2SURBVHhe7d0HuOTT+cDxgyRKEN1aondZnURbLYkWRBdEXSVhWSGIFr1bZfUuelmEaNFLRFu9d1FDCNGixf//fXfONcZv5t69d+bembnfz/PMs3fqzp37m/M77znvec9YX/2/JEmSJEkVxi79K0mSJEnfYLAgSZIkqZDBgiRJkqRCBguSJEmSChksSJIkSSpksCBJkiSpkMGCJEmSpEIGC5IkSZIKGSxIkiRJKmSwIEmSJKmQwYIkSZKkQgYLkiRJkgoZLEiSJEkqZLAgSZIkqZDBgiRJkqRCBguSJEmSChksSJIkSSpksCBJkiSpkMGCJEmSpEIGC5IkSZIKGSxIkiRJKmSwIEmSJKmQwYIkSZKkQgYLkiRJkgoZLEiSJEkqZLAgSZIkqZDBgiRJkqRCBguSJEmSChksSJIkSSpksCBJTWKsscb6xr/g5/LrlardV+t5Rffl69WeI0nqnwwWJKlJfPXVV6Wf+k4zvAdJUvMwWJCkJtEMo/rOLEiSyhksSJIkSSpksCBJkiSpkMGCJEmSpEIGC5IkSZIKGSxIkiRJKmSwIEmSJKmQwYIkSZKkQgYLkiRJkgoZLEiSJEkqZLAgSZIkqZDBgiRJkqRCBguSJEmSChksSJIkSSpksCBJkiSpkMGCJEmSpEIGC5IkSZIKGSxIUpP46quvSj/1nWZ4D5Kk5mGwIElNYqyxxir91Hea4T1IkpqHwYIkSZKkQgYLkiRJkgoZLEiSJEkqZLAgSU3CBc6SpGZjsCBJTcIFzpKkZmOwIEmSJKmQwYIkSZKkQgYLkiRJkgoZLEiSJEkqZLAgSZIkqZDBgiRJkqRCBguSJEmSChksSJIkSSpksCBJkiSpkMGCJEmSpEIGC5IkSZIKGSxIkiRJKmSwIEmSJKmQwYIkSZKkQgYLkiRJkgoZLEiSJEkqZLAgSZIkqZDBgiRJkqRCBguSJEmSChksSJIkSSpksCBJkiSpkMGCJEmSpEIGC5IkSZIKGSxIkiRJKmSwIEmSJKmQwYIkSZKkQgYLkiRJkgoZLEiSJEkqZLAgSU3iq6++Kv3Ud5rhPUiSmofBgiQ1ibHGGqv0U99phvcgSWoeY33lMJIkNQU66jTJ+d98G6o11eWPLVfreUX35dep9nrSySefnMYZZ5z0q1/9Kn3wwQfp4osvTtNMM01aZ5110ueff57OPvvs9NFHH6Wtt946jTfeeOm0006L42n99ddP3//+99M111yTHn/88Xj8jDPOmJ566ql07bXXpkGDBqWf/vSn6YQTTkhffPFFWmSRRdJ8880Xzx9//PHTyiuvnKaddtrSuxjtjjvuSA8//HBafPHF04ILLhi3PfHEE/HvgAED0r///e/08ccfp9lnnz09+uijaeGFF477slGjRqWFFloofj7zzDPTBhtskO6///70wx/+ME0yySTp5ZdfTj/4wQ/SFVdcEY9Zd91143Wl/siZBUmSVNMbb7yR/vWvf6U555wzXXLJJenGG29Miy22WPrHP/4RHeu99947rbLKKmnttddORx55ZHr33XfTJ598Ep11Otx0/AkYhg0blkaMGBGvecYZZ6Qdd9wx/eQnP4nXIDAg0Fh00UXTvffem+aee+601lprpf322y8eX47X3HLLLdNZZ50V1wlwcwDx2muvpauuuir9/e9/T+edd16aeOKJ4zEZ/xeBSvb000+ncccdN1122WURAN11113p7bffTn/+85/TL37xi3hPU089denRUv9jsCBJLeazzz5LH374Yena6Ot0zKR6YUag/HL33XfHaP1f/vKXGOl/7LHHolP91ltvpYkmmihNOOGEMcvAz19++WW65557IsD461//mpZffvnonC+99NLpu9/9bppgggni/5hssskiWHj11Vfj8cwAHHXUUTG7cN9996Uf//jH8ZjKzj5efPHFtP/++6flllsurtOxJ1gh4Hj++efTTDPNFAHESy+9FAFLOX6XPNPADMkUU0wRP/M7MDPCrAOzG88880wEDyNHjozPQOqvDBbaDI3u4Ycfng4++OBo9JjiPf3009Mpp5wS9z/44IPp+OOPTwcddFDcT6N62GGHpSOOOCJ9+umn6Z///GcaPnx4OvTQQ9Nzzz0Xz2FqmOcz0sOIDKNGvOabb74ZjSr3c9sLL7wQjy/H/8WFEZ+Mk82VV14ZP59//vkdr8O/5ZiufuSRR+JnRrQOPPDA+PkPf/hD+u9//xsnKm7n9Xg/55xzTtwvtarO0n/ohNFhI92CUdDsgQceiO8B32kCh54wBUl01LlwLOQLbfEhhxwSl6mmmio65TvssEMck6QgjT326O4EqUik7NDx33fffaNDT/pODmb/9re/xewEKUK77bZbWm+99WI2gPaecxe3McrPcU7gcdNNN6U55pgjnpsRhKywwgoxs8A5j+DilVdeSdNNN10EIsw6rLrqqunqq69Oq6++eulZX3vyySc7AgjOicxkEHzMNttsaeDAgenZZ5+N/5uZEN4PKUpSf2aw0GZuv/32tMYaa0QjR4NKJ3yLLbaIhpiONZ30bbfdNi277LLRueDxNKrkl9I40yHffvvtY6qY/FQaVU4EW221VTSot956a1pttdXSr3/96zgB0JDTYA8dOjSdeOKJpXcxGicRRm023HDDeBweeuihaMx5P3T4GU0iQGFKuzIflOdMOumk8TMdIJ7HeyFguf766+O9Tz755JFnutFGG0UerdTKOhu9JDB//fXXI6WjHKOv5557bqROMDLbE46givNGZY4/KUff+c53StdSnENAmg4pOvPMM08MMjEbQDDA45lFyDbffPMYlOIY5ZxAh5zrpACxhmHWWWeNYIGBH9Bpz4NYQ4YMidsybltppZXSDDPMkH70ox9FWhSvAYIAzk8ELwQKeV1CuVlmmSXeK0HFf/7zn3gdzi2sm+A5vDbnL845BEeca6T+zAXObYZRdxaOMeqz8cYbp0033TQaQhpvGnp+ptNPPidTr4xO0nASLNDo01Dvuuuu0aD/6U9/iiliOiG33HJLzEAcffTRMcrDtPAvf/nLyFMln5QRTRrf8txSRmzIJyUYIPBgsdixxx4bwQhBCSeH6aefPkagCBQIQsr9/ve/j5MHmAZmgRsjTsxAECDQqdlzzz3j96SRJ7+VqeNyjBbxeUitgGOaJjn/m2/D+++/H9+BmWeeOb6zfP849vNj+a7wXWVGkJkGvvMoauLza5bfV/R/q/+hPaYDvcQSS5RukdTfObPQhliMRSeCBWbzzjtv2meffaIDQQ4nU8uM6t95552xqIwZiG222SaCCgIMRu250KnnNjr8dMTzqD+zD3TIGTWiQ5FTiP74xz/GyFE58kLp8DMrwQmIDj7/Jwhc6PwwIkUgwOxGpffeey9mNpgRYaEa1THoBBHs8Hz+f6ag6UDxnghiuC1fGBkiX1ZqBwToBPKkFpLeUYnvGt9vvs+VaRuVLr300nTAAQekd955p3RLigGELKf/qf/h3GCgIKmcMwtthsoUjNaD0X5SfUjVybfT2SY1aKmlloppWlIamO7NyPukg85UMjMBrENgmniBBRaIgIF1C3TC6aBzoXPCVC2jmN/73vdKrzJa/j9JISJw4bl59oAUKRaTMaNB5Yqi0f/8f3EfjyFYYMaD90snh2njnNIEpsErF8IxO0J1Dh4nNbui0f3yWQAufK+pIsPiy+OOO+4bjyUvnNk3vtvlz6vE82kLdt55547vHrOADBDwPAIJZhr5zqn/4Jii3WaASJIygwW1NWYnrrvuuqjzLbWKasFCRkEBZtVYn1D+2HK1goULL7wwFpqy3ojZR1BrfrPNNoufeQ6pgsz4GTD0H6w7Y2YqHzuSBIMFtb2TTjopUrM8AarZ5Y5/eQBQ1OknVZBZQdIByx9bruh5GYUGSEWiegydQ+RgIb8eF6qmOcPQP3BMUQ6V8qNSb6GdYW0hbRKL3pkVZYaUxfFUuSrPWPjf//4X7VP+lzTmJZdcMqpY5fZOjWGwoLZH/jU16dnpU2pmuaOe/823obKpzo8rf2y5as8DKXykGrEGifVJoIzxmmuuGWuX8nP4lzLMdCANGNobgyqsL8slUKVGoWwulRkJDmhjKNhA9S06/V09/ngeadPMkJI+B1KlKfzgBnr1Z7CgfoFqTMwuSM0sd/zLA4BanX50J1gAswYUPmD9AhhV5iTOeqXy5/AzAQMbcc0///ylW9VOWENGEQmCRakRaEfYb4my56wtpERtrtgGCp7QHrH3E+0QchtWjtchoKCyIwMYk0wySeme0cfxRRddFIMgCy64YKRRGvzWh8GC+gVKxFLhwxEHNStmv9gIiia5t4IFChiw4SInVKb8KQjAviyVz+E6AQP15yl2oPbCYAp/9/J9FOqJSng33HBDlOtm5JcqfCyopzNH55F9FEiHY50MRTMYcaa4Bccbz6MTSSW9orVnFORgnwUW/v/ud7+LNp5NC+lwstkb++9QEZDS35QG5/csx/qfnXbaKX4+5phjYt8G9veh00k58FNPPTXW9lBtjD0cWONDQK2uoe2gghvVEQcPHhw7btPesFcGJdlJpwSdfmYWmGXorCAJbRU7c/P3ZV0iCB4o3EKBB3Acsav3XHPNFRv/NerY7i8MudQvkHfNJnRSM3rrrbeiQwNOrnSkMjpR7IJbb1Qzo1IaJ2xwMiUXuAiBB3u4cNKnnLLaB5Xl6Kg1sjN12223xb46dNymnHLK6Ayy/w6Bal5Uz8aCHI9s0EmH/be//W2UACY4JcCoVqSCUq+UCid9Lo8iE2CQ1sL3il2cOdZJR63c+BM8JuNnOrTMsvBaBCCU7qaYAJUFf/jDH0bVPXXNzTffnPbYY48IDtmDiSpbzGCS8nbxxRenQYMGRcl1Lsxqcb0rlQs5Vjme1lprrQj+uBBo8JocU1R6o5w6qZbMPlDanbSnagMn6pzBgvoFFknREWJEQmomlKpkdJMTGxhxy6NjYIR1nHHGKV2rH07OnMSpjJStsMIKpZ++LQcMVBczYGgfl19+eez6Xy8EBhwr5RdKXtOZm2qqqeIxdMJpi+l8c2yzoJVS3WAPEa7n0X5GpEkpqYa8ddJbQCBCRzGP/FO2m+8T7T+DRaTSlWNUmlmEjMezsJZN6dZdd934XpIqw3tgx2qCjcoS4fo2Aiw66PydmS0iAKPdYAaLGVRSgtllmyCuEh16SqUTaJxzzjnR+ed5/EyHn6CP8u+VmFngNVl3w7meGSH2jiG44z0QiO6yyy6R5qQxZ7CgfoMpbUZGpWbBHiacDDmZsecImF7Pe6WAE18jRsRIeWL0lM4co7yg81YLj91tt90MGNoEeeIcd/XsAJMCxPFafmEvnLvuuiuCBoJf0n322muvqILD8c3xNM0008T9LLTn34UWWihej5/z/jk33XRTdDbLEXTQScxIP8mbf956663R7hMU0Jnk+C1HYMH37YQTToj3kjuhBDDMaBBI8T7uueee6MCS9mKwUBsboR5//PHRMSfNjM+M68wEECRQaKT878Df5uyzz46ZJNLRSPk64ogjIj2N9pF1CLRPpKYx43PBBRfEa2+yySYxI8FrEzCWY1aJ12GNFeWAOfZIQz7kkEMi4GDmthFtajtzzUILIyeTjcuQ8yyZLqVRJHom948pXSJr8jj5malURl3I8wSdBaL+SjyOKgN0KJjOy19uvriM+sw888xxAuC1yXvmernyzeHypmmMLPGF5zl8uemYkMtK48+I09xzzx2PaySmP3OpSKkv0dlmtJNp+pw+wfeMkX5Osnk6nhMou6/zuCI8p6gZz9/ZWk08KQFXXHFFjL7mVCeeR1ux/PLLx/UivCYnXmYiao36qrmxuJ2cflJ46oHjiQ04K88puYPPjBkdcQIEUkmoysW/jOjzHcij+gQApCWB+3IHvfznLN/Ga3FuomPJuQZ5li7/P/k7kfH/cK4DQRPX+ZfH8164j+u8Drfx3uv1WbUb/qYEgZz3SQ8i8GINFKlFlccDfzPuY0aIz5m/NZ8rF/5G/M1o81jjkv/e/A14TfobHCO0QQSevBZ9Ifo+BAe/+c1vvrHoGaNGjYr+DMc6s0/MFBE05BQpdc6ZhRZGrjFROV9ODngaMr6sI0eOjFESEInTEWenV6b8CCrohPClZJSmfASzHCMpLDziy8wXDUT6fGEZCaVUGZ0LGlem+yqde+65pZ9Gj+7w5ec1hw0bFredd9558WVnFIn3wBe4N5AD+9RTT5WuSX2D7xXT7HvuuWdHoJBx4suBAjnUdFYa1UGhPeBkS3tRPmJLzX1GnavhhM4MA6OIjM6q9ZAiwrFXz2OL45pFppXYrZ8LHUP+z7w+guu5c8jPYBYhBwooDw4qAwXk23g+z82BAnhd5P+nEu8jvzd+5ruG/F7ydV6HxzTqe9jq6A+wuJy1gQQK9BnoAzDQUR4oEEjSbjAjwIAlAQGLxtdZZ5209957x3277rpr9BOolsRsAIOVXNhPgVmibbfdNtIhd99997iwloVZKQYh+TvxXF6DAcuM2SGed80110S/iZkn3i/PZ82OOmew0MLI3eMLR2c8N2I0snxx83b9RPsEEcwsMH3Hc5gt4EvLF2/GGWeMx1Xiy06kzigNX0Jeh4iex9OoMm1MVQMqRpDbWYkgIuM1mIIkWNhggw1iNoH3xBQjU8wENzTklZdGWGaZZeLzkvoK3x1m28jJLjrOy2cCbr/99ugANbJkKd8JFgFy4sxI6ygP+Ivw3jkps5jUgKF1MBrLhXaXjl29ENgyMNWotlvNiTKl9C3o6HOeZwCQQUxG+HOwxoAE1ah22GGHyChggJB+A+saSCkiGKBPMKZ4Dv2TnXfeOf5/Npmkj8L6FwYzee08CMJjSV0i6KMqFmsYSP/kQoqZajNYaGE0ykTYROkgV5NIPeddEhDwxaDzQekwFlAyEohHH320IyeU2QJOHuV4DV6bTj+BCKXpqEgBOvjMBPC6pFJUllLki1dedSKP/LDoiQaCqgg8h4CEcoyUpGO6kdfLFypYEKzUG58ZszCVea9Sb6CDxvegVipcXgQKAmu+I6QEcewWXVDt9q4g6CfdgkEARt7AyOrSSy8dU/W18P9wQqZdyTOQam4MMJGzTQeO80O9cKyQPqf+g4FJggBG6TmHk8HAmoTyFEbWC2y66abRjyBQIKCgbDPp0GPSTnWGfgb9C6rKMStBJgX/JwueyyshEpiw0J0sDIIZ2lfeN4Ohqs5goYXxRTv88MPjRE0Hm2m3DTfcMC222GJxImChGTWhyeOkXjSLhlhEBNIPctRPqlLeBCXjCwW+9EzTMWrEVB9yTiJfxrXXXjtuK8dIAylMvDdOTETwYNERHXWmFhdddNH4mRGJvINsuZ///OcdgU290ZBQf1nqTSziIwVjo402Kt1SbMUVV4x/+U73NGDmNbpixx13jPaAiiMZbQTf3c6+h7RDzDCwzsGAofkxC8SsFjnj9VqkTrDJsV2UJqT2xIwig3qMzDPQQOebzIGcrUA2Av2OM888M1LDSK1koLBWxbV6YbaBoIG2lIFLBkE45hkYBX2ZzTbbLN4zA6IMpLKekYEcFXOBszrFl4nDJOdx9hbWQlA/uTKnux5oGKjMUM+RDakaqq0wokYQXA0BPh323CRzgmNRHqNwvY2Zxvy9Iw+d9QvkI9fC+2aAgJkKBgbUnLbbbruoIHPaaad9a4Oy7iId9Wc/+9k31hqoPdHhZuCRDjnZBm+++WasQSTtKK+1Yj3M9ttvH8VWaNdIE6pcdNxbCGSHDx8e2QSsxTr66KM71khy34gRIyI9in4OwQwzDfYLvs2ZBXWKUYPeDhRAXeu8YVS9sQiPzXykRqIDzTQ9aw5qBQqonO0iZYkFljmtEOVjO5U/17ov6+xxnFTBKFy+j+/KwIEDo9Y5s5TVcIIlpZCF26RPqTlR2CJvZFUPHCekvBootD8yBVhATAYDgQKDGRQ+YWYyBwqsUeQ6G/CRmsTagb4KFEAbynosMi5YTE1Qw47g+T4GDQmeSVliYMZAoZjBgpoWI7GNyiNkVCSXdJUagWl4TpRMu5PHWwvrgMpTAUkpJKWD0f165pV3htxj0PEjYOB3AOVRWfRMKhWFCqoxYGhujPJyXDGzWi8EH7XK7Kr1Mep+1FFHRcEFOtakItMWECiyaDjPQhJMDB06NFKRqDxI2nOzdL5ZT8PsF++Ljf9YbwEKSLCmk5m2RmQxtAvTkNTUGF2lWkte91BP1JcnXYKRkLzYW6oHarJT6YO82PJSjtWQ20sJQKbtwegXPzN6xw6y+YRLc13tZ9TrcRRNYO8U9kNhtiGPGoLRRKqqsfaINVFFeC06pHmNVGfy+0J+D7WUPx5j+pyuPL4/a8TnS1opC1wJnKnIp9bAugQWKdMmsHcTqTycl9mzIK9jBEVQOKfS3lGNkVKnzYhBQhb4sxaTvWJyQQnWW5FuSRqlvs0wSk2NqgW5Qks90VCQa8mUKg2fVC+k6jDtTYe/K4ECJ1kKCFDeGJdddlmU/iPgIFDoC6QZsLEjI4ikqzB6nBEkUM2JmRBSk3i/bJJUjs4ivz8dyK5cyhXdX3mpVPSYyku5ovu9fH2pVPQYLnS8SBXl53KVj+NCRRwGfeiokRfO8a3mxc7LbFrGOioWMTN4waJ4OtWkGeVAgb8jFdEolEK6IqP0zRoogKwCFj7z+7DPDesrwIAhu3nnRc7s/Mxxq9GcWVDTYxM4tm6v92jgXnvtFVUQqI7EiIjUU3SameKm5ndXNhpkzw86TxzjpIdQSYzNg5jGJ+DIKUj52Ke5rvYz6vk4KuVQM53bWAjIuiXSqspnGUAKFekJ5QEDHQzeO98tKeM4ylX4KpHmwjFDR7N8Nk29jwEAUhCZ2WTN4r333hsXZhPKZ/mZZaDEOmmKjMrT7rXKjshUaaLtYqCGBdsg3YrqjKRjMoPKWhzLAY9msKCm99BDD0WuLeVW64mGgcWbpFo0Yk8H9S+MSLFAjvQjZgY6Q2eckVnSjzghgxF7cmrz2oFmwmgw6Uds4MaiwGqLFjmlMNpIx5B8YLUnOloEu+y+2xVswsleQLTloPQ2i07LjxFek8IT7LLPcUS6EmlLHHP5O6L647MuCs4495KCRDDArscZgQRrF1i/RIllZhk23njjlgvwGPxgAzl+t3wc0yZT+p31DQQRDN7kTW/7M4MFtQTyXZldqDcahbnnnjtOUn1R8UntgWCTmt3MKlSOvBe5+OKLYwEwlZIyfqaDzU6jTP83C1L2zjjjjPiekGrA9yQvwCaPOe/Jov6FXXBZ9N7dvRX4znA85Wpfk046aQQGOR0PzFbxGDqtlPNlVoJBI445Ktmo+0i/YQ8VAjjWGJTn6jMowMg6QVplcQb26TjyyCOj2hGzCaQsNnKH+UZiUGPvvfeO9ozgJw+AMNvLfjisZyTVkna9v890GSyoJVDHmZSGRlSGYfSAae/O6shLRSjDR2eaTYA66zixnoERemqVs7gun4DIjyVflg4RqXHN1hHifbPLKXnnVChjJI7fl1E5Ogz8HiwUZKSY+zjpElT09xNsuyKopU2uV/lVkPLBKDZpIWA0l11+Z5pppo7jiP+XIJuUmBxY5w6ts1i18R1mo1ZmbpgFJTgjQODz4/Ol43zdddfFWj4GBlibVI7AjZlTvvPMCpFmOWTIkJaf8eF3pjISGQbsEwMGSEhN5vhmBpgdoNl4sruBcTv4VrBg4/5N5R9PVz6bytirUc/pz3r7b+Lfo7be+Hy783/0JlLa6LjUQgeHUTyqDK200kqlW1PMSHCiIlBgWrw3S6WOCd4fo2/k8PI71LLVVltFGcJ6luhU66M6GJ1/ClcwGl3rO8MCetJcXnzxxbjOYxdYYIFIe8klLvne5VFwZihoF0jjY91DrnLTnxAQMBpOIFCeCsnu6o899lgUXCCwoo0hmCediOCLz5Dr7AVTXuEIBAlsZEbBA4IIBgeocjbddNOVHtH6GLh57bXX4vdixgQECRx7a665ZqzNoJ2mDWQGuNq6m3bmzIJaRqNSkaRG4eTCyBUpF4zAMTKfO0iMjDI6TweHkxUn5WYvKcnpgvrqdPpqYQSSBdpSOXbIZQSb0Wl21OV4ooIOnVRmpGp1wnge6Uh0enO3hRlhyl/nEV9uZ20Eo+ftdK6o7KZVDpbQjuQAgCChqNOfMXPDWhM+f4IuPj8qBFW+ZnmQQAea6+yn0Y57ajBbesEFF8R6Bdo3PkcQrOZ1ZZSJ5rMguCovtd6VgavO/n6VKh/fDAwW1DKouMLUZ478pWbEyB7lBVkPAzZlowNDZyfPKJBuwSj9oEGDYgSVGYVWaoo52VFOtagmOffxu+QTYj1/L9IDSNFqlYor7YgN90hDYQS/OxjBveOOO6KDxsg2C57puDIzQHDNrr+kwHBs1QqeOa5YCE3nje8W1xntZuTcfRxSpDrSBj366KPxvQHfSaoZsXdRtc+IzjEblDGDwI7HBAks9uU5nXVyWxnVkUiF45hiRjQP6vA5sPiZtRocY3yeBLj9jWlIktRDnGhAc0r6AyNPAwYMiNuuuuqqODFzsmU2gdFVRlZJFSAne7XVVuvoYLcK3i/19UkLqaz8lH+XfC6p1+9FWVk6kARX5557rgur+wjra9hDo17oyJJGRCc1Bw98T+ik8TPHF98nRss7Sy0inS8vmiafvr+g/an8nhFUM7tA2hYBWC18t/70pz9F6g2fN48nxWvZZZeNdqu/YCaF35tAljVaOd2NdWYEXgQMrGPg9s5mV7urWc8DziyopVClYIMNNujXC43UOthwjV1rqfDCXgqccMgbZo+PSq3UFHc2qMTvUu9ggQ7g3XffHZVYzjnnnC7tY6H6evLJJ9Mbb7xROKNUL8wy0OGn40rHjcCBf/n7Eyiy8JkZOYIH9iPp7FjUt/GdpOPLIl5SJEn/YnCDYI1BDDZW64+j53wurEkgZZSUN8pgE3TRjhO8ku7VXxksqKVQqYGForPOOmsstpKaFZv7kApApQ1yYAkYOBmz+JKOTqVWaor7IlgAI82kmVDWkDQY8qcdOGg8/oYs8rz22mtjL5De7KDzHaIwQK6AxHXSlSj9SQDBd4t0Gcp/knufR4M1Gn87Bin4DOkA8zNpW6QjUUGKz4vO8eDBg6OaWX8Pvvi8SMMinZQKdQTItNlDhw5tq0XdY8o0JEnqIdIAGBGlJCEjdZQonGWWWdL0008fnRlG7ljwW9HcdqDdrXZfM6p8vyyaZPSNDYzyfflcUu/fi4CBNSH8S+fGYKHxSO/ZbrvtInedTiWLPftKZQUkOr4ED8w6kN5HrnneAb2/IC2PIIrfnzUGeQE5GKAgtYgZGS58L7kwM7fiiitGG6VvYzEzs5jswcDnyYww6aRUgptsssnSJptsUnpkfTXrecBgQZJ6iLQiRuc4MbPgMucJM9K59NJLx0ZtnbWtzXqSKNKV3yU/ppV+LxW7+uqrYx8a1gwwOl2t0k5f4PhiUSqLpgnW82JnNtLqL/bcc8+OGQJ+d4KnHBhwnQELZuJZY5TXUqlzbNjGeg5Ssmjbc1vGQAVFKRoh/x/NxmBBknqIUo2cqK+55pqo1V2+C23Wn4IFpvCLPgO1Ho5LOkZ0nPL18kCw/GdUu6+3Hkenrj+mItEGkS4DggU+gzH97Br9OPT0NXrrccxe5Rm08scxq0kKHDNsjZLfSzNxzYJaDtOrTAVSupGFblJfI5d6xIgRUdud3YuLcLKp1tzWuq8Zdfa78FmQ4wtPMa2PdSKUAGbBp9Qf7LHHHpHS9oc//CFmaXoqBxut2h66Ekgth81nqIPMFuxSXyNvmsXMzChUCxT6G9YuqD3QueG4zjMLUrtjMzZmRll3Vo9AoR2YhiRJPcTMQq3dZ9FZ29pKI05d+V08l0jNwe9ja2nGc4FpSJLUC/prsOApRlKrYIfyhx9+OFKdV1999dKtPdfq7aHBgiT1Ak4W1ZrbWvc1o678Lq1+cpTUv+Q2K6tn29Xq7aHBgiT1gsoTUaVWaoq78rsYLEhqJZXtGqV4r7rqqviZnfgpqEL54O4wWJAkdcpgQZKaEyV3qX7Umcceeyz2zxlTrd4eWg1JknoJJ4qiSysq+j24SFKrufTSS0s/fe2TTz6J2YXy9q07gUI7MFiQJElSv/TFF1+kBx98MPYRKQ8MxhtvvDT55JOXHtW/9SgNqdpUdNFLjsljx0SrvS78LL7mZ/E1P4uvteNnUe0xWT0+t97Sld+ls8eoMepxHPXl96Q7GvW68LP4Wrt+FmeffXZ6/vnn05AhQ9L0009furW2MX3P+fHl9zfq924E1yxIUi+odmLIWqkp7srvUnRylKRm8umnn8aMwg9+8IPYrblRWr09NFiQpF7AyaJac1vrvmbUld+l1U+OktpbbqMy2ipSkr7zne+UbqmfVm8PDRYkqRdUnpgqtVJT3JXfxWBBUjPrrB3L6tGGGSxIkjplsCBJzaOyHaOtuvrqq9Nbb70V16eZZpqofsQeCz1lsCBJ6hQni2rNba37mlFXfpdWPzlKal///ve/02STTVa6Nloj26pWbw8tnSpJvYQTRtFFktR7TjvttLTTTjulzz//PDrwDmrU9q2ZBU9cajet1Ai8/fbb6c4770xPP/10XG9kdQb1zMEHHxzHVnmbyfVJJ500LbjggmnQoEFp/PHHL93Tedva18cp/z8lBF955ZW09957l26VpG866KCDSj990xRTTJFmnXXWtOiii6bvf//7pVubzz//+c9ovwcPHpzWXHPN0q2j0Q6eeeaZ6fXXX0977bVX6dbe09fngWraPlg4//zz07jjjhuXVVZZpXTr6IP9o48+SgceeGDplvrKn2N3/vBsO/7uu++m7373u1HOS+2JY+Pll19Od9xxR3rttdfiNhrbBRZYIIIGbqPus5rTWWed1fH95vs+zjjjpAEDBqSBAwemN954Iz366KPp448/jvs5ef7sZz+r2h7w/O60FfU0fPjwtMQSS6Qnnngibb755qVbJembaPuQ2yz6V+T1TzzxxOn9999P999/f7R9Y489dpp33nnTUkstFfc1iwMOOCDSkI444ohv9XlPOOGEOAfTDvbF+bevzwPVtP2aBTpjjzzySFz22GOPbx0Y/PpPPvlk/DzbbLPVrWRWd4MFNgbZYIMN4qT9ox/9yJN2GyEIfPzxx9Pf/va3aKg4RmaYYYY011xzpRdffDECREw00URpscUWq8uiKvUeprPffPPNCBIYuQJ/87nnnjt+XnzxxdN+++0XJ6IVV1zxG21NMwQLnECnnnrq9Otf/zp2LpWkrvjvf/+b/vGPf8Tl1VdfjXYPc8wxR/re974X57z33nsv/fjHP45Bk0aUJu0q3uOhhx6a1l133bT00kuXbh3tqquuitKpnI+33HLLOBdrtLYPFuiA3XDDDfHH32233b4VLFTT04+lu8HCDjvskOaff/602WablW5Rq/rss8/SqFGj0j333JM++eSTOCboOBIEPPXUU3EbppxyyuhIuq18++H7T/DASBsn0Ommmy7SlP7yl79E57xcXzfFvB+ORUbTmCWRpO6iPWMglraPYGLGGWeMzvdNN90U7cs666wTKUu9jQ3YOPcedthhpVtGe/jhh9Ntt90W75GAhrZaX2vrYIEI8aijjopR+pdeeilG7CuDBX79e++9Nw5qDlxG8+uR+tOdYGHkyJFpiy22iFHlk08+ucvbjqs5fPjhh+nvf/97evDBB9OXX34ZaWSMItP4EBxwPIJGkxGWZs7pVGMwqnX99dfH8fGb3/ymdOtofd0UM9q26qqrpr/+9a9pu+2269PRP0nt5YUXXohAAUsuuWS6++67o1+20UYbRVZHb3jmmWfSkUcemX7729+m+eabr3RrihnhESNGxPsiFXiRRRYp3aOsrYOF448/Pi277LLpwgsvTPvss0/kzxUFC43Q3ZkFIluCBabu1NzyYmQCAdD5X3jhhaMj+Oyzz8ZtHAfUaSZoIHiQQOB47bXXRvDAIrsbb7wxjhumvvtqnRKjbSxsZlbzmmuuSVtvvbXT8JLqinaObI/nnnsuLb/88umWW26JbApm1xuNgiHMapTP6jLrsfvuu6f1118/gobVVlutdI/KtW2wcMkll0S0eu6558YiZhbgkBJy+OGHp9NPP72ho7osTHUKqz1ddtllHWtcSNkgCCDVjTxNEBAstNBCac4554zgVKqF5peOOWurCBo4vjh+yosx9CZS5/bdd9+oEEKe8UorrdRro36S+g/aPgZJcPvtt6f9998/fm4U0oyOPfbYqHDE7D54D3vuuWf61a9+Fe0dAyQq1pbBAtVlGLnjQBw2bFh06pCnnhp5QDCLweLG1VdfveOAVPtgGpMqCXkxMkEnM0GmjKknGG279NJLYyaKjYI4eW6//fYxJd7bOCUcd9xxMeBB8MD7IYdXkurtjDPOiFn6nXfeuaFrpdhTgfViBAcZwQPnbzI6fve73znAV0PbfTKkfzDKSxRJtJgDBaa9Pvjgg7TpppvG9UZg5oIgZcIJJ0wzzTRTnPi9tNeFRo28RqpUcVlvvfUMFNRjnCQ5ln7yk5/EgmjyeMmhveuuu0qP6D0c50OHDo2KSOy5QFrUMccck955553SI6S+R+lztS4GJZhVnXbaaWNQopGBAusjGODbZpttSrekdMUVV0Q1QmYUuN1Aoba2mlmgNNc555wTBx8nupVXXjlupwoJBwOdvI033jhuawRSnNZaa61IU+mrNAJJrY0m+aKLLoo2jBK7nEQb2W7VQilnii0w8EL5aQIHZk0JKKTewneCgcD77rsvffrpp3EbxUDU2ljvd+WVV8Y+NJVlTOuJWVoGcHfccce4ThESggTaM9I/CRpUW9uEUozon3rqqXHQvfXWWx2BAli/QMBANaRGYoSZ2QtW/bdRDCapF9ERZ7EdmxmxwRGldsnnzdW0etMss8ySDjnkkPTAAw9E4MJaHCrMUYpaahTS8jjm2PyLNJW8oy4VC1mIz0JUtT7aE2ZUGxkoUIGJftlWW20V19kwk8qT7AHBeiwDha5pm5kFcmyXW265GJGj8lEe+WJ6i7UKbIK09tprx22NQgPHans2NSIHji8Cq/0dhZPUHZTjPfHEE9MKK6wQu9GzqVtfVUqjzCHFIQhiWMhP522ZZZbp2HRO6i4q0lDCnAo5YDaNzSo5fzObQIBAmsigQYOiFPokk0wSj1Pfy4MYY1pqOfeLGtkF5bXJKqFKIZXmOI5Ys0CaJwMeFHJQ17RFsECAQMecFKSDDjroGyfTU045JaacKKPaGzlp//rXv2IUhHUL5B/T0PF+CFYGDBhQepQkdQ07Q9N+MV3OHghsLtmXWJvFyZfSr1SZy3vUMFjj3gzqClKGWY+TZwhIuWOPI9aEcXxxzBOQcpy5J03zyvtXTTPNNNEPG5Pvf72DBdZUkSpJv2uCCSYo3ToaQSfH0/Dhw6PC26233vqtfW5UW8sHC4zgk2LESZTV7uXVQ5h6YoX7Gmus8Y20pN5A/fTzzjsvvgiMCrLomipJLLhmNI5V+ZLUFbQjJ510Upz0Ntlkkz4fWS2fLSVVhE2MGBlmlJFywlxcMKiMWSiCA87JmHjiiWP/GdbE0MFjVp4OHpVpKB3sPkOtgWIMrAdgTRXrNKeaaqrSPZ2rR7DAsVO+uVo1/B/0v66++uroL2622WYNXVDdjlo6WKCMJbMGNER0yCunw9mpj/rlVPLoq1QgFmNxgHJQTz311BEosKiH/F/eE40mIycDBw705CqpKlKAxh9//Ni8qK/LMpe3p3T4KPtKytRSSy0VAyGUF86nFkb0aJu52Alsf/zdKxcjM/LM+heqFHLe5jEEvBQdIbXIjltrYVDgnnvuifWZFHZhoIDZoTFRj2ABPJ8+IH0s1quuu+6635pZ4DHMgHKhKtKQIUNK96irvhUs9FWnujvI4eVERMoPaT7lOGjITdtwww0bunhmTDDlSrmuXKOf1CmiYnLnWHRT+aXhb9FXVVAkNQ+KNJDGSKlBNpns63aa/7+yveI6J2x2Yz344IPjNmYcWOPARpUEEKSX8Nzy928b1z5OO+20+Je0NAbH6FBSfhdcJ5Vu9tln7/PjVz3DDCeDoAR5/E27M9OZj4HKdqQeKo8v/g9mr9ihniwTMj8aXfCmuxrxedRDy84sENFefvnlsXEQq+krUT2EvEhmF5oRH/vTTz8dmy8RPOQTKBdmGWhYGYUjrcoFhFL/Rp1wSgyyMK8Z2oPKk3El2jfaX2Z+H3roofTxxx9HPjPPY50DgQ8pC7RxjDi7nqv18fcmb511B6BUJTNN7kOjIrkNaUQXlMGV66+/viN4zaiwRb+RwWUWyqvrWnpmgbKCpPFUYlqcqTHqMDOy1UrIp2OWgVkIRuHI4ZTUvz322GMxWktHuxl0JViohtQU2jdmfxmhJBVF7YG/KwNdraiV+j5qX40Inuqh12YWGhlFZpVf9mb90CW1v8o2j+vV2qRa9zWjdvpdJEm1tWSwwGuQc8ZKfKY8KdnHxhr5/8g8YUnqK5VtXmX7VKmV2qt2+l0kSbW1XLDAtHVXp+I9YUnqKwYLkqR20HK1OlkQx4mICzn9lMKifq4nJ0nNLrddlZdWVPR7cJEktZe2WbPAwuBddtklFjxTHkuS+lLRzEK19q/Wfc2onX4XSVJtXa6GNCaNf7XXQE9OIrXe28UXXxybwAwbNixNO+20pXu6ph6/czWNeu1We134WXytWd9zteer+/Jn39lnW4/jqrfU63dp1u9BLa32nv0svuZn8TU/i6/V63Ub+Zn2tbaYWSAdaffdd0+TTTZZ+sMf/lC6VZL6TmWbV+1EkrXSCaWdfhdJUm0tHSxUnrCojMQmZpLU14qChWrtX637mlE7/S6SpNpaIli49dZbY6O1sccevR6b3T5XWmmljtfMPEFJahaVbV5le1WpldqvdvpdJEm1tUSw0NmJKfMEJalZGCxIktpBW6UheYKS1CyKgoVqbVSt+5pRO/0ukqTaWm6fhXL7779/LGj+6KOPPDlJanp0pIsurajo9+AiSWov35pZaMbGPr/F/N64nn8++eST09Zbbx0/13pc5c9o1cehp6/Rlce1m+58Bo14HMb0NdS6uvq3zI9rBfX4XTy2JembmvU80LJpSGy89uWXX6Y//vGPsauzJDWTyjaP69Xav1r3NaN2+l0kSbW1ZBrSgw8+mCaaaKI055xzGihIkiRJDdKSwQK7Nf/73/9Ov/rVr0q3SFLzY9S96NKKin4PLpKk9tISaxYOPPDA9L///S/ttddecf2YY45JO+ywQ/zM28/vOf8q5der/YxWfRx68hrDhw9Pv/vd7+Lngw8+OP7NO1+T1rXvvvvGz+3mtNNOS0OGDImfu/pZNeJxGNPXUOvq6t8yP64VdOV3IU302WefTaNGjUovv/xyx3Noy+eaa6601lprxXVJ0mjNeh5o+mBhq622Sp999llsyDbppJOme+65J05CI0aMSAsttFDpUar06aefpttvvz098MADcfB98cUXcfnwww/TJ598kv773/9+42/N5/vd7343/j3uuONKt7aHoUOHpv/85z9pvPHGS5NNNlkad9xxI32NVLbFFlsszTfffOk73/lO6dFSfeTvV25iuV7tRFDrvmbU2e+yzz77RDvNz8wCU7GOIIHrtDOnnHJK6dGSpKxZzwO9tsC5pz7//PMolXrnnXdGx44dnDkBDRs2LE044YSlR/VvL730UrruuuvSO++8EydqAoK33347fh5nnHHSwIEDo3O88MILp8knnzxO3P0Jn8+VV16ZHn/88QhA6bRMMskkafzxx49AggCCz2bRRReN29SebrvttvTnP/853X///TGTtvzyy5fuqa/8/cpNLNdrdbBbpCkORW3Hueeem55++un4XjGTANaV/fSnP03zzDNP3C5Jaj0tFSxwYmd06re//W3ab7/90lRTTZU+/vjjqIzEiHF/xKjdJZdckl5//fU4gb/77rvp/fffTxNMMEEaPHhwWnXVVdP3v//90qNV7l//+le6+uqr03333ReBJ0Eosw0EnwQLfJ6DBg1KSyyxRAQVai/PP/98WmONNdIjjzxSuqW+coe6PFiopdWDBVIZCRJmn332tN1228WAhCSp9TV9GtKZZ56Zpp122vTcc89FZ26OOeaITjDOOOOMyIdlRJjggY5ef8Hv/Ze//CWCKNKKmEGYfvrp04YbbhijeZ39HUlHeuONN9Kbb74Z/xJ05edsuumm8W+7GDlyZHwm5EnX+lz4TG6++eZ06623RhDGYzmmJp544o6ZhllmmSUttdRSMUuj1sXxznqdQw89NNLUDj/88EjBq6d8rLVrsMD35eijj452mfaINQjrrLNO4edIG/Xwww+nZ555Jn7P/D2SJH2tWc8DLTGzsMACC6RXX301/ehHP4rgYcYZZyzdk9Lpp58eJyFOWCyEbvf0kb///e/pqquuit+TtBqm9gkQllxyycLOCH9eHke52ffee690a4pO8DTTTBOXAQMGtPXsAwEVazeefPLJ+Dz4nDiW5p9//jhuqiFV6e67707XX399BFQ8l8/pBz/4QXz+pHYxu0WnZ7bZZuu0M6jmwt+TdKQVV1wx0tDqLR8PuYnlev65Uq37mhHvd9ddd41UR9IcCbwq00Fpc0j14jvG58vaIAZ7+N5IklpHSwQLnJhmnXXWGO2log0pIxtssEHHyfjYY4+NlBJSRXKVn3Zz1113xUwCnVXygmeaaaZYr8Gi70qM4jE6/tprr8X1mWeeOS244IKm0pSQysa6BTozdHTA8bXIIovU7DTyvEcffTSCNQIwnpsXTTO7lRdNM1ItZTfeeGMEl6SztUOwwLofvgekbzELyfqxjMIK3M+6KQZ5WP+T22lJUmtqiWCB/Fc6y2effXbkkL/wwguxSHGzzTaL+/kVttxyy+gUM8o+wwwzxO3t4B//+Ec68cQToxP61FNPxazKTjvtFKPb5ThJX3vttemf//xnBBTLLLNMmm666eI+Ph9uZwZBKToyjIJSFQl8PhxT9957b4yUgtQ3FoPXSm3jeS+++GIED0888UTHoulTTz219AgpRZlnjosjjjgiijTkymN0pvmeMvLeKsEC66NICX3ooYfS8ccfn6aYYorSPSkq1TGTsP7667teQX2GQZ16pxRK/V1d1yzwUpXP7+ptvaEV3x97HrCwu5yfXzH+X3Tl/Rx22GFpl112KV2TGuess86KmQXSJVkjRGeGGakpp5wy7mfGjwGAfPw2K4oBMKPA5aSTTuoIpJnJZCCH1D7SIbuC37UnHbqi73RXb+sNrfD+0Ozv0ffXfe30/tDs77Ge7y//zs2kJWYWypFDTgrJFltskS666KK03HLLdZx0OeHyM+UvKdfXqqjOwwgeHQpGrvfYY49YoFuOHHxmWyhJyOgkByqVkC677LLokDDzsNpqq7XVLEsjsPcE6UisBfnggw/ic2QhNJ2efFyBNLe//e1v8RmDmYnFF188ZiC6gt3Gec1tt922dIv6C0qK5jUyGbNbrJe45ZZbIpWQWT9mplZfffWYcWg2BDqXX355zG6yRwKL/kGq44UXXpi22WabLq97Ov/88yMtsrJNk+qBma+f//znsUYtzx5L6pmWCxbAyYra6FT/4efcAaOzx5oFOsosvivv7LUC/hSkHLEQ+bHHHouAh1Sr8oiVaX6m++lQ0FnlOQQXpMIw9b/22mt3pB9pzDHqS4eI/TwIEPh8CbhYxFweeLHJGwEGnSX+PpyUyM+mykvlCAN/L1KaeE3+Zup/Lr300vhe/uQnPynd8jU64rRjVGgiUKXtajYMxFCemepHLOoH63aYbaCUdeUxX4TvEmvOCJr5PaVG4DgjcKUyF7N6XTk2JdXWksECI3Dk/nKh1CXT+IxUgdHf8847L6b9uZ/9BloBAcIhhxwSjRz134888shv5P0yW3DxxRdHh5QOB3+2v/71r7GQmYWTLDK0ykhjUDv+jjvuiPUjIE+b4KG8RC1rHVjz8Oyzz6YhQ4bEbRL+9Kc/RRDKDNYPf/jDtPnmmxcWJnjrrbdirwJmGZjxWm+99TratXyc8b2v9jPq/TgcddRR0f4wQMF6BFAdjACI9WT5OZ3h96PtdjBDjUZASl+AdTUEs5J6piWDBTCFT84saUgjRoyIDhoBAnbfffeoTEMu7UEHHdT0nWhSipjKZ2aEzsRuu+3Wkc9LJ4N0K6y77rpx+w033BDpCyussEJaeumlu3yyVn2wpwWzBFSl4uuTU5IoDVlZipWgj6COBfnMRnBcqn/iWOF7zmJ4ZqlIM2TTxMpiBaQtMWJP2hIDIVtvvXWXO/f1fhwLmXkvBMzMfoAqYMOHD4/Zhq6sOyCQZhZu2WWXLd0iNdb2228f1bpI0SVYyLNhkrqnZYMF3vbvf//7WPzLCYvpxpyOxH1UR6L2PSNZe+65Z8dJsNkQ9JCGwDoM3nP5WgvSYa677roYYWQ/BCr2UGmHx5CGpeZAkEdniL8js0Gsp2km5V/xrnwPKpuEMX1Os37XmgWBJiP17O9A+iA7rvOdJoUtYxR+5513jjVJfJ45NYnPOX++lT+j2n3deRwXBi5eeeWVGJDJM50sZua9Tz311HG9FtZmsHkmHbaurmmQeuqaa66J8z+BOeuAJPVMywYLYLEpeyzss88+sYMo5UFXXnnluI/RL8qo/vjHP4588maciiTAodPA6B1T/QQEGbXKSUVYc801Y1MxNqPjXwIKR6dbBwEeaWV0BnNHrKc4xtlzoyfVZNS38iaBtFE0wQQNBJ0shM9/V77/jJCyW/hee+0Vt/HYap17VLuvO48jjYNZMWY3dtxxx7id2TQuFE/oDG0waxSY9TVFUn3hhBNOSL/5zW86jmtJ3dPSvQ02wyL9Y+TIkWmhhRaKkyzVksDJiVxhpiJJ5WE9ACffZsBJlPQogptnnnkmTqg5UGC/BEbx2DOCQIEyhYww0tlk5sRAobWwpoZUuXqdrNhLgxkMA4XWxloE1gDw3Qedb77jDH5QzQWktB133HHRTrD+inahN5HuyKxC+UwZI7akTnWG90wbTAqVgYL6yuDBg2O9maSeafkeByXSyCGn4gxT45QaZeQLdKxZ4MR1dn1mKp+TWF9iITNT+8wSkAd88sknR847qDbC+2VXVNIPmE0gZYFZB4IHtRaCVC716ixx7Gy88caxMZ9a39xzzx3phHznOU5I62EDN2ZJWSwPgkIqELG4nh3sy4POyp9r3ZeNyePY44W2KZdJ5X0xOFP+uCIUXcjvX+pLlCymsqCknmmL4UlGr5guJ+WDaXzyxxmRB9WQGK2j+gi5wYzOUVUoT8f3FmY1GEVkYSDBDYsa6SSwkysIaEgtYbqfIIe0A3KYmUJ1FLk1EehRNale6EhSznX22Wcv3aJWN9NMM8UMIvujgI44a5RYs8A+KiDYJGAg/5qNBGnHaL8aeWGAghQoSjdnBABUY6uF9El0ZfZB6g0E5awJlNR9bdEL5QRLBSQ64wQMjMzT+SbnNt/P/guULCTth9kHShRy8m00TrxM3bMQm6og/P90+oYNG9YxQsesCI3ZVlttFZ1BNmGjJCFTqGpdLFCvVz15ZsQoj8vam65uBKfWwJoE9kdhtpE0RPziF7+IgIFyq2DQg0ER1jXQke8q2pjuXBi0YCYrbxDHrAZrF7ivGqo4URaVCjRSs6BiINXoJHVf2wxZM/q23377RXk/AgZOvqQeUW0oYwqdSh6M8nMiZDRv7733jnrhnKjrjfUSdPzJQSaNgFKu/P/5BEwgwXvgvTC6yL+U2uT3oNa6WhcbbOVSvvVAigoL9Qk6N9lkk9KtaidUbmONAu0EfvnLX8ZoPu0Y6ISTEkRbd/3118dtjURwkLFWptqiZlKoWEjK/i95XwipWRDgEpCzgaak7mnpakhFCARYzMxiQU5eVBxhoR6zCnltABippVNOA8I0JYsJSQ3aYIMNvlGVaEyxIJAAhUpNvCabdPF6rFPIub8glYA1CUzXl5dM5M9Ra/ROrYEAlLry5Rvr9RSBMLNPal8ECqQnkn5IqVGu007kam5cp7oQ+zQceOCBnbYV3F/UxFe7HVRnu+KKK+LYHTp0aNxG+VPa0Eo5wKHddIBDzYp+Acew7afUPW0XLGRMiVN1iFFY0n8oU0pQUJnaw0ZZdMJYlMeGaHTs6eRzMp1++uljoTGdeTaAK8drExgQDHBhmp7buDASSDDC86lgxKhGOTZU4zmkS7FmgfQpZhbq2bFU36p3x57jiRz2NdZYo3SL2hXtFemIeadjZhdIT8rrX0466aQY5KDKVmcbnXUnWKA9on1iE0iqzKEoWCAlivdCelT5QIjUjOgTMDvmsSqNubYNFkAZVUbIWBRImVVGzCijRgWlOeaYo/Sor1H7nFkBggBGIpiGZ7ExHXqm/gkiuDDtTtoSt3Fi57EEHYyyEXAwW7DIIovECbkcOewsxOYkT5UGnsMsyCqrrJKWWGKJ0qPU6ujIkWtO3nm9kL7Gwld2/VX/wAJ52hNmEcrrxZPixkwDi6NJS6ulO8ECbRJ7gzBjQOob7dv5558flbgy1lOcc845sbaKx0jNjkE8ZnxN45TGXFsHC2AdwBFHHBFVPHKFDtKSOBkuueSSadCgQXFbJYIBFh1TVYkF0aQNcdLMpTAJGthCnso0c845Z5y4q500CVIIXCh/+rOf/SxuYxMmOpQsdi7PDVbrI22EzbbquSeGKUj9D03z6aefHu0UFdEIQvNMwk477RQjpKQk1Vrw3p1g4bDDDuvY/wW0lfzfeVaW6+wsb6U2tRqOaYKFXIVQUte0fbCQMUpHWT9GxxjV59fOJVanmGKKmG2oTDXqiQ8//DBmESiTOt9888VO0pygmV2gA8DiRWcT2g/H1amnnlrXjj1BK2ludBrV/1xwwQVprbXWiiCUlB/Qmaec6myzzdaxu3KRegQLtJHMmpKSxMAHhRt+/etfx2tIrYTzMZWRKIBSieOc7wRrbxgIfPPNN+NnUkC5ToVFZnbZ54afuZ9iJS+99FLpFVIMHBYNErHXA4OM5dXxaNMZgJxyyikjGCfoZ60jayvLX4OBSqqhEeDw/vl/GeSkkAsDkPn9vfrqq/GavEfLa6ve+s2wEB2tgw8+OHa/ZeqeQGGxxRaLky+l1ShvSiee3Nz7778/0ovGBCdTGht2jeY12DOBHGNen4XWzEgccMABUSaV92Gg0J44dhZeeOHStfqgBLDHS//F3jHMWtKZoEMAOgMsds6lVuuJzStpC7N55523owgDnSMGXAwU1IromLMeqDJQplohg4l8n/KxTTBOUHD11VfHbWQD0Gmnr0A/gr2bSAnkOQwQ8S8BQSUCAAJvzg0XXXRR3Mb/x1oknkdfI6dGkQVB1kI5vov5/eZsB9YLrbzyyvH/U0qZ93fiiSfGeyAAkeqt38wslKPjzheeNQosaGbUjjUNYIEyX0a+lHyJmWbni5gbkKKPi/sYCWCUb/755//Wl139B+lCW265Zcfx0lMcj4wok26i/ovjiY4AG0putNFGcds222wTxRPYwLHa8cbt1dqsak1/fq18f/ljaz1PagUs3q8ceacTzwAi3ydS/Djvs37x5ptvTsccc0w85tBDD41AmjRmAgdKGVOYhI4/BVLK1/SUo+wwjyfdmMFD1iDRsSeN76CDDopCKMwIsJs7fZL8/c4YZNxzzz3jZwIYCg9Q5ZEZDYqi3HfffTEAuvrqq0eaIunW9drfR8r6ZcIpDQGLT9ljgTUEzATwpT355JMjTYg0JXLOt9hii9jBlKpFRP5c+Lnywu2M/lFjnPUNLEbky8v0ofoPOnMEjbmzVQ+chNzkSnTQObbK94NhnRTBJG1ObzFQUKtjUI/vDcdyvjA4yB5Hv//976N/QGoP+yMV7ZVDn+HYY4+NNGMQZOSqYUWYQWATWBAY8H/lAivMAjBLQLoTWQnrr79+3F6ufKaAdCUCGgY06XdQsIWBTtY/UvSAYi4GCmqEfr86jfzDnXfeOXaAXmeddSJYOPzwwyNvlwuVQaj6UbkDJF9gbieliAuPGz58eHyJKW+57777xr4N6j/YKGuFFVYoXasPFpPOOuuspWvS1xhFpKMxatSo0i1j7uWXX47KRlJ/Urkwn/QiUoDOO++8uM5MAMVHWMtIB50KiaQwgRmGESNGRBoQCDxYqwACAS7lmEmgqhnrFN944404Tyy33HJxH0UKmBHgMaxrrMxKYMaBIi30RUiJyusqeTyPJfBhTykGJpmV4HFUWZTqrV+mIY0JggJOpozo8QXNSGVi+pE8YisrCPWuWMQieabCmeVS/5bTf6gVTwld2hxmstg0jWCSEcUi1dKG8u10kFhQSUpTlmfG8vPKX6Pa60nqGgIA1jt0B9+9/P2UepN17zpB9M60X3mgAEYmmJUwUBCoUkFVrXpiXU0evZKQF2iCRc8MWnQVwUUlRkGZDTUAkHpHdwMFGCiorxgsSHXAIrZ6d+yZfu7JiUXth7KIY1qpDexgX5RutNJKK6UVV1wxKrZQwU2SpEqmIUl1UO8UJPJk670LtFpXTv/hX2YT8ghj/rdaM879lFglXZLa7JRz3n///Tte75JLLonSvKRZUhGGNVs5Nzu/Zn5s5c+SpP7BmQWph9hwhwpa9USlDRbXSZVygNBVzEbss88+UYSBBc3UjS93++23xz40VGKpdyqdJKn1GSxIPXTXXXfFBn/1wsgtI71FO4FK3bHttttGbfntttsuCjOUY58G0pGYcZAkqZLBgtQDVMti184xHe2t5aGHHoqdcqV6oSAD9dhJRWJTp4xyjYsuumhsGOX6GElSEYMFqQduuumm2HmzntiRc+GFFy5dk+qHTabY9TVjkyjWM0iSVI3BghqKlJrjjz8+dslmi3rceOON8S8dbbABDuUbWYjJQmEez0JLnsNOmfxbrQLMSSedFDtmU7o0u/vuuyM1CJdddln8e//998fmOeXolLOpFSghOXLkyHi/p556atyWX4Mcb95DZa43yAGnhG69MFNBud56zlRIkiR1l8GCGopdJ6eZZpq0+eabd2xDTyf9mGOOic2gQEeeHTBPP/302JWW/Gq2w99ss83SRx99FM9lkWYlcq95DVJ2WKQJAhF2uWTHbUpFUuGFAODmm2+OdKFyBCn5Pbz55puxyyZb/LOLJ9v933LLLXEfaUG8h1VWWSWuZ5Q2rfcu3TfccEPsyClJktQMDBbUUIzy09k+/PDDY9Qc7Dj7+uuvR750xuZ2lAklYGA3WkbWn3jiiTTLLLOUHvFtvDbb8DPqv+qqq8ZtBCfzzDNPBAhUFGLvA4KCvL1+OTa1yiP4BDDzzjtvGjVqVDrggAPS5ZdfHjMR7KLMbbx/qh7x+Hwhx7veeyvw+5AaIkmS1AwMFtRQpBMNHTo09iAgvYbUHkbz6aizoyyd+lz1h0WYuQY8CAYWWmih+JlRfPYeKEcwsdtuu8XMxWeffRY7Hq+22mpxH+lFBCDMMjCrULkGgECAevWkL/FcXp/ZC9KKKCNJgDNgwIAIIjbccMO06aabprnnnjveb/mF16+X999/P0088cSla5IkSX3PYEENNXjw4HTllVdGxx904CnTSPDArrHPP/98R9lRHsNOszvuuGNcn2+++dLMM88cPzPCTzBRjpkIAgtShFjv8PHHH0cqEUgZInCg0kvRZmkEKgMHDoz3RoBAlRjkmYIhQ4bE6xOIEEjwuDwz0igEO/WeqZAkSeoJd3CWmkS9d4FW+yAopqnO/2Z5Fq5aM175+Kza7ah8zfLH1nqeJKk9ObMgNYGXXnopzTDDDKVrkiRJzcFgQWoCjdivQZIkqacMFqQ+RloHC65ZAC5JktRMDBakPnbPPfd8o4ysJElSszBYkPrYI488EpWfJEmSmo3BgtSHKOGa95mQJElqNgYLUh9il+kVVlihdE2SJKm5GCxIfeiNN96Ijd8kSZKakcGC1EfeeeedNNlkk5WuSZIkNR+DBfWqyt1fK69/8skn37it8v7PP/88Ltn//ve/9PHHH5eujb7OJat8frlq9+Xbaz23UrXncJ33U/Ra1157bVp55ZVL1yRJkprPWP/fiel6j0jqgZNOOim98sorcTn77LPTXnvtlSaeeOL03nvvpf333z8upOQ88MAD6Zhjjknnn39+eu2119ITTzyRzjnnnHTBBRekd999N1J3NtpoozTBBBPE60w77bRp6aWXjvx/7h9//PHTNttskw477LB4/bfffjuts846adFFFy29k9FBxfrrrx+7JrMZ2oorrpg++OCDdOGFF6bnnnsuHXzwwWnJJZdMt99+e9pvv/3SHnvskcYdd9zSs1M6+uij07rrrpsGDhyY7rvvvvi/d9555zTXXHOlp59+Oh155JFp1113TVtuuWWaffbZ01RTTZU23XTT0rNHO+WUU9JWW21VuiZVN9ZYY0XAmf/NuI5qzXjl47Nqt6PyNcsfW+t5kqT25MyCes0zzzyTtt9++zTRRBPFdWYRBg8enCaccMJ02WWXxULfrbfeOi2++OLp5ZdfTi+++GJcn2KKKSJA4LLDDjvEa9A55zH/+c9/0lJLLZXmmGOOeH06/wsvvHAECXRqdtlll+jo33DDDfF/ZgQgSyyxRJplllni/8dFF12UNtxwwzTOOOOkq666Kv30pz+N/2OSSSb5RqCAV199NQIFvP7662mttdaKIGe99daLAOOLL76IjhWPI1Dg/yrHe51tttlK1yRJkpqTwYJ6DcEBG5AxUk8nf+yxx0633XZbBAmjRo2KTj5eeOGF6MQzI3D33XfH4x9++OGOmYG77rorLbbYYmnZZZeN2YkDDzwwUpOYldh4443jdgKF8cYbLx5P572ys87r8n88/vjjcR+zG8xIMFvBTspPPvlkmmeeedKJJ56YNt9889KzijGTQLDCaxLM3HnnnfEaL730UrwfLgQGBA/5wuOZDZEkSWpmBgvqFV9++WWaf/7502qrrZYmn3zy6IyTSjRs2LDoXK+55pqR+nPcccdF8EDnn846j5900kkjJYjZhJNPPjlei2CBn0eOHBkbmhEcMBNx1llnpaeeeipG9FlAzHXSi5ZZZpnSOxmNkf9f/OIX8X8xy3DFFVdEWhEIaujIs/iY/5uZhXK8Lpczzjgjfg9mPAgAeM0BAwbE+2NH5meffTZmJngPH374YbzH8gvBkiRJUjNzzYL0/wgw5pxzztI1qbkQjNJU538zrqNaM175+Kza7ah8zfLH1nqeJKk9GSxIUouo7KxXduwrVevc1+r0V75mrcdKktqfeRCS1ORyB76vNcv7kCT1HoMFSZIkSYUMFiRJkiQVMliQJEmSVMhgQZKaXLMsMHahsyT1PwYLktTkXOAsSeorBguSJEmSChksSJIkSSpksCBJkiSpkMGCJDU5FzhLkvqKwYIkNTkXOEuS+orBgiRJkqRCBguSJEmSChksSJIkSSpksCBJkiSpkMGCJEmSpEIGC5IkSZIKGSxIkiRJKmSwIEmSJKmQwYIkSZKkQgYLkiRJkgoZLEiSJEkqZLAgSZIkqZDBgiRJkqRCBguSJEmSChksSFKT++qrr0o/9a1meR+SpN5jsCBJTW6sscYq/dS3muV9SJJ6j8GCJEmSpEIGC5IkSZIKGSxIkiRJKmSwIEmSJKmQwYIkSZKkQgYLkiRJkgoZLEiSJEkqZLAgSZIkqZDBgiRJkqRCBguSJEmSChksSJIkSSpksCBJkiSpkMGCJEmSpEIGC5IkSZIKjfXV/yv9LEmSJEkdnFmQJEmSVMhgQZIkSVIhgwVJkiRJhQwWJEmSJBUyWJAkSZJUyGBBkiRJUiGDBUmSJEmFDBYkSZIkFTJYkCRJklTIYEGSJElSIYMFSZIkSQVS+j/+IxMU0dZdvQAAAABJRU5ErkJggg==">
          <a:extLst>
            <a:ext uri="{FF2B5EF4-FFF2-40B4-BE49-F238E27FC236}">
              <a16:creationId xmlns:a16="http://schemas.microsoft.com/office/drawing/2014/main" id="{00000000-0008-0000-0B00-000001140000}"/>
            </a:ext>
          </a:extLst>
        </xdr:cNvPr>
        <xdr:cNvSpPr>
          <a:spLocks noChangeAspect="1" noChangeArrowheads="1"/>
        </xdr:cNvSpPr>
      </xdr:nvSpPr>
      <xdr:spPr bwMode="auto">
        <a:xfrm>
          <a:off x="6172200" y="377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21</xdr:row>
      <xdr:rowOff>0</xdr:rowOff>
    </xdr:from>
    <xdr:to>
      <xdr:col>8</xdr:col>
      <xdr:colOff>304800</xdr:colOff>
      <xdr:row>22</xdr:row>
      <xdr:rowOff>57150</xdr:rowOff>
    </xdr:to>
    <xdr:sp macro="" textlink="">
      <xdr:nvSpPr>
        <xdr:cNvPr id="5123" name="AutoShape 3" descr="data:image/png;base64,iVBORw0KGgoAAAANSUhEUgAAAwsAAAEfCAYAAAAOfloeAAAAAXNSR0IArs4c6QAAAARnQU1BAACxjwv8YQUAAAAJcEhZcwAADsMAAA7DAcdvqGQAAFG2SURBVHhe7d0HuOTT+cDxgyRKEN1aondZnURbLYkWRBdEXSVhWSGIFr1bZfUuelmEaNFLRFu9d1FDCNGixf//fXfONcZv5t69d+bembnfz/PMs3fqzp37m/M77znvec9YX/2/JEmSJEkVxi79K0mSJEnfYLAgSZIkqZDBgiRJkqRCBguSJEmSChksSJIkSSpksCBJkiSpkMGCJEmSpEIGC5IkSZIKGSxIkiRJKmSwIEmSJKmQwYIkSZKkQgYLkiRJkgoZLEiSJEkqZLAgSZIkqZDBgiRJkqRCBguSJEmSChksSJIkSSpksCBJkiSpkMGCJEmSpEIGC5IkSZIKGSxIkiRJKmSwIEmSJKmQwYIkSZKkQgYLkiRJkgoZLEiSJEkqZLAgSZIkqZDBgiRJkqRCBguSJEmSChksSJIkSSpksCBJTWKsscb6xr/g5/LrlardV+t5Rffl69WeI0nqnwwWJKlJfPXVV6Wf+k4zvAdJUvMwWJCkJtEMo/rOLEiSyhksSJIkSSpksCBJkiSpkMGCJEmSpEIGC5IkSZIKGSxIkiRJKmSwIEmSJKmQwYIkSZKkQgYLkiRJkgoZLEiSJEkqZLAgSZIkqZDBgiRJkqRCBguSJEmSChksSJIkSSpksCBJkiSpkMGCJEmSpEIGC5IkSZIKGSxIUpP46quvSj/1nWZ4D5Kk5mGwIElNYqyxxir91Hea4T1IkpqHwYIkSZKkQgYLkiRJkgoZLEiSJEkqZLAgSU3CBc6SpGZjsCBJTcIFzpKkZmOwIEmSJKmQwYIkSZKkQgYLkiRJkgoZLEiSJEkqZLAgSZIkqZDBgiRJkqRCBguSJEmSChksSJIkSSpksCBJkiSpkMGCJEmSpEIGC5IkSZIKGSxIkiRJKmSwIEmSJKmQwYIkSZKkQgYLkiRJkgoZLEiSJEkqZLAgSZIkqZDBgiRJkqRCBguSJEmSChksSJIkSSpksCBJkiSpkMGCJEmSpEIGC5IkSZIKGSxIkiRJKmSwIEmSJKmQwYIkSZKkQgYLkiRJkgoZLEiSJEkqZLAgSU3iq6++Kv3Ud5rhPUiSmofBgiQ1ibHGGqv0U99phvcgSWoeY33lMJIkNQU66jTJ+d98G6o11eWPLVfreUX35dep9nrSySefnMYZZ5z0q1/9Kn3wwQfp4osvTtNMM01aZ5110ueff57OPvvs9NFHH6Wtt946jTfeeOm0006L42n99ddP3//+99M111yTHn/88Xj8jDPOmJ566ql07bXXpkGDBqWf/vSn6YQTTkhffPFFWmSRRdJ8880Xzx9//PHTyiuvnKaddtrSuxjtjjvuSA8//HBafPHF04ILLhi3PfHEE/HvgAED0r///e/08ccfp9lnnz09+uijaeGFF477slGjRqWFFloofj7zzDPTBhtskO6///70wx/+ME0yySTp5ZdfTj/4wQ/SFVdcEY9Zd91143Wl/siZBUmSVNMbb7yR/vWvf6U555wzXXLJJenGG29Miy22WPrHP/4RHeu99947rbLKKmnttddORx55ZHr33XfTJ598Ep11Otx0/AkYhg0blkaMGBGvecYZZ6Qdd9wx/eQnP4nXIDAg0Fh00UXTvffem+aee+601lprpf322y8eX47X3HLLLdNZZ50V1wlwcwDx2muvpauuuir9/e9/T+edd16aeOKJ4zEZ/xeBSvb000+ncccdN1122WURAN11113p7bffTn/+85/TL37xi3hPU089denRUv9jsCBJLeazzz5LH374Yena6Ot0zKR6YUag/HL33XfHaP1f/vKXGOl/7LHHolP91ltvpYkmmihNOOGEMcvAz19++WW65557IsD461//mpZffvnonC+99NLpu9/9bppgggni/5hssskiWHj11Vfj8cwAHHXUUTG7cN9996Uf//jH8ZjKzj5efPHFtP/++6flllsurtOxJ1gh4Hj++efTTDPNFAHESy+9FAFLOX6XPNPADMkUU0wRP/M7MDPCrAOzG88880wEDyNHjozPQOqvDBbaDI3u4Ycfng4++OBo9JjiPf3009Mpp5wS9z/44IPp+OOPTwcddFDcT6N62GGHpSOOOCJ9+umn6Z///GcaPnx4OvTQQ9Nzzz0Xz2FqmOcz0sOIDKNGvOabb74ZjSr3c9sLL7wQjy/H/8WFEZ+Mk82VV14ZP59//vkdr8O/5ZiufuSRR+JnRrQOPPDA+PkPf/hD+u9//xsnKm7n9Xg/55xzTtwvtarO0n/ohNFhI92CUdDsgQceiO8B32kCh54wBUl01LlwLOQLbfEhhxwSl6mmmio65TvssEMck6QgjT326O4EqUik7NDx33fffaNDT/pODmb/9re/xewEKUK77bZbWm+99WI2gPaecxe3McrPcU7gcdNNN6U55pgjnpsRhKywwgoxs8A5j+DilVdeSdNNN10EIsw6rLrqqunqq69Oq6++eulZX3vyySc7AgjOicxkEHzMNttsaeDAgenZZ5+N/5uZEN4PKUpSf2aw0GZuv/32tMYaa0QjR4NKJ3yLLbaIhpiONZ30bbfdNi277LLRueDxNKrkl9I40yHffvvtY6qY/FQaVU4EW221VTSot956a1pttdXSr3/96zgB0JDTYA8dOjSdeOKJpXcxGicRRm023HDDeBweeuihaMx5P3T4GU0iQGFKuzIflOdMOumk8TMdIJ7HeyFguf766+O9Tz755JFnutFGG0UerdTKOhu9JDB//fXXI6WjHKOv5557bqROMDLbE46givNGZY4/KUff+c53StdSnENAmg4pOvPMM08MMjEbQDDA45lFyDbffPMYlOIY5ZxAh5zrpACxhmHWWWeNYIGBH9Bpz4NYQ4YMidsybltppZXSDDPMkH70ox9FWhSvAYIAzk8ELwQKeV1CuVlmmSXeK0HFf/7zn3gdzi2sm+A5vDbnL845BEeca6T+zAXObYZRdxaOMeqz8cYbp0033TQaQhpvGnp+ptNPPidTr4xO0nASLNDo01Dvuuuu0aD/6U9/iiliOiG33HJLzEAcffTRMcrDtPAvf/nLyFMln5QRTRrf8txSRmzIJyUYIPBgsdixxx4bwQhBCSeH6aefPkagCBQIQsr9/ve/j5MHmAZmgRsjTsxAECDQqdlzzz3j96SRJ7+VqeNyjBbxeUitgGOaJjn/m2/D+++/H9+BmWeeOb6zfP849vNj+a7wXWVGkJkGvvMoauLza5bfV/R/q/+hPaYDvcQSS5RukdTfObPQhliMRSeCBWbzzjtv2meffaIDQQ4nU8uM6t95552xqIwZiG222SaCCgIMRu250KnnNjr8dMTzqD+zD3TIGTWiQ5FTiP74xz/GyFE58kLp8DMrwQmIDj7/Jwhc6PwwIkUgwOxGpffeey9mNpgRYaEa1THoBBHs8Hz+f6ag6UDxnghiuC1fGBkiX1ZqBwToBPKkFpLeUYnvGt9vvs+VaRuVLr300nTAAQekd955p3RLigGELKf/qf/h3GCgIKmcMwtthsoUjNaD0X5SfUjVybfT2SY1aKmlloppWlIamO7NyPukg85UMjMBrENgmniBBRaIgIF1C3TC6aBzoXPCVC2jmN/73vdKrzJa/j9JISJw4bl59oAUKRaTMaNB5Yqi0f/8f3EfjyFYYMaD90snh2njnNIEpsErF8IxO0J1Dh4nNbui0f3yWQAufK+pIsPiy+OOO+4bjyUvnNk3vtvlz6vE82kLdt55547vHrOADBDwPAIJZhr5zqn/4Jii3WaASJIygwW1NWYnrrvuuqjzLbWKasFCRkEBZtVYn1D+2HK1goULL7wwFpqy3ojZR1BrfrPNNoufeQ6pgsz4GTD0H6w7Y2YqHzuSBIMFtb2TTjopUrM8AarZ5Y5/eQBQ1OknVZBZQdIByx9bruh5GYUGSEWiegydQ+RgIb8eF6qmOcPQP3BMUQ6V8qNSb6GdYW0hbRKL3pkVZYaUxfFUuSrPWPjf//4X7VP+lzTmJZdcMqpY5fZOjWGwoLZH/jU16dnpU2pmuaOe/823obKpzo8rf2y5as8DKXykGrEGifVJoIzxmmuuGWuX8nP4lzLMdCANGNobgyqsL8slUKVGoWwulRkJDmhjKNhA9S06/V09/ngeadPMkJI+B1KlKfzgBnr1Z7CgfoFqTMwuSM0sd/zLA4BanX50J1gAswYUPmD9AhhV5iTOeqXy5/AzAQMbcc0///ylW9VOWENGEQmCRakRaEfYb4my56wtpERtrtgGCp7QHrH3E+0QchtWjtchoKCyIwMYk0wySeme0cfxRRddFIMgCy64YKRRGvzWh8GC+gVKxFLhwxEHNStmv9gIiia5t4IFChiw4SInVKb8KQjAviyVz+E6AQP15yl2oPbCYAp/9/J9FOqJSng33HBDlOtm5JcqfCyopzNH55F9FEiHY50MRTMYcaa4Bccbz6MTSSW9orVnFORgnwUW/v/ud7+LNp5NC+lwstkb++9QEZDS35QG5/csx/qfnXbaKX4+5phjYt8G9veh00k58FNPPTXW9lBtjD0cWONDQK2uoe2gghvVEQcPHhw7btPesFcGJdlJpwSdfmYWmGXorCAJbRU7c/P3ZV0iCB4o3EKBB3Acsav3XHPNFRv/NerY7i8MudQvkHfNJnRSM3rrrbeiQwNOrnSkMjpR7IJbb1Qzo1IaJ2xwMiUXuAiBB3u4cNKnnLLaB5Xl6Kg1sjN12223xb46dNymnHLK6Ayy/w6Bal5Uz8aCHI9s0EmH/be//W2UACY4JcCoVqSCUq+UCid9Lo8iE2CQ1sL3il2cOdZJR63c+BM8JuNnOrTMsvBaBCCU7qaYAJUFf/jDH0bVPXXNzTffnPbYY48IDtmDiSpbzGCS8nbxxRenQYMGRcl1Lsxqcb0rlQs5Vjme1lprrQj+uBBo8JocU1R6o5w6qZbMPlDanbSnagMn6pzBgvoFFknREWJEQmomlKpkdJMTGxhxy6NjYIR1nHHGKV2rH07OnMSpjJStsMIKpZ++LQcMVBczYGgfl19+eez6Xy8EBhwr5RdKXtOZm2qqqeIxdMJpi+l8c2yzoJVS3WAPEa7n0X5GpEkpqYa8ddJbQCBCRzGP/FO2m+8T7T+DRaTSlWNUmlmEjMezsJZN6dZdd934XpIqw3tgx2qCjcoS4fo2Aiw66PydmS0iAKPdYAaLGVRSgtllmyCuEh16SqUTaJxzzjnR+ed5/EyHn6CP8u+VmFngNVl3w7meGSH2jiG44z0QiO6yyy6R5qQxZ7CgfoMpbUZGpWbBHiacDDmZsecImF7Pe6WAE18jRsRIeWL0lM4co7yg81YLj91tt90MGNoEeeIcd/XsAJMCxPFafmEvnLvuuiuCBoJf0n322muvqILD8c3xNM0008T9LLTn34UWWihej5/z/jk33XRTdDbLEXTQScxIP8mbf956663R7hMU0Jnk+C1HYMH37YQTToj3kjuhBDDMaBBI8T7uueee6MCS9mKwUBsboR5//PHRMSfNjM+M68wEECRQaKT878Df5uyzz46ZJNLRSPk64ogjIj2N9pF1CLRPpKYx43PBBRfEa2+yySYxI8FrEzCWY1aJ12GNFeWAOfZIQz7kkEMi4GDmthFtajtzzUILIyeTjcuQ8yyZLqVRJHom948pXSJr8jj5malURl3I8wSdBaL+SjyOKgN0KJjOy19uvriM+sw888xxAuC1yXvmernyzeHypmmMLPGF5zl8uemYkMtK48+I09xzzx2PaySmP3OpSKkv0dlmtJNp+pw+wfeMkX5Osnk6nhMou6/zuCI8p6gZz9/ZWk08KQFXXHFFjL7mVCeeR1ux/PLLx/UivCYnXmYiao36qrmxuJ2cflJ46oHjiQ04K88puYPPjBkdcQIEUkmoysW/jOjzHcij+gQApCWB+3IHvfznLN/Ga3FuomPJuQZ5li7/P/k7kfH/cK4DQRPX+ZfH8164j+u8Drfx3uv1WbUb/qYEgZz3SQ8i8GINFKlFlccDfzPuY0aIz5m/NZ8rF/5G/M1o81jjkv/e/A14TfobHCO0QQSevBZ9Ifo+BAe/+c1vvrHoGaNGjYr+DMc6s0/MFBE05BQpdc6ZhRZGrjFROV9ODngaMr6sI0eOjFESEInTEWenV6b8CCrohPClZJSmfASzHCMpLDziy8wXDUT6fGEZCaVUGZ0LGlem+yqde+65pZ9Gj+7w5ec1hw0bFredd9558WVnFIn3wBe4N5AD+9RTT5WuSX2D7xXT7HvuuWdHoJBx4suBAjnUdFYa1UGhPeBkS3tRPmJLzX1GnavhhM4MA6OIjM6q9ZAiwrFXz2OL45pFppXYrZ8LHUP+z7w+guu5c8jPYBYhBwooDw4qAwXk23g+z82BAnhd5P+nEu8jvzd+5ruG/F7ydV6HxzTqe9jq6A+wuJy1gQQK9BnoAzDQUR4oEEjSbjAjwIAlAQGLxtdZZ5209957x3277rpr9BOolsRsAIOVXNhPgVmibbfdNtIhd99997iwloVZKQYh+TvxXF6DAcuM2SGed80110S/iZkn3i/PZ82OOmew0MLI3eMLR2c8N2I0snxx83b9RPsEEcwsMH3Hc5gt4EvLF2/GGWeMx1Xiy06kzigNX0Jeh4iex9OoMm1MVQMqRpDbWYkgIuM1mIIkWNhggw1iNoH3xBQjU8wENzTklZdGWGaZZeLzkvoK3x1m28jJLjrOy2cCbr/99ugANbJkKd8JFgFy4sxI6ygP+Ivw3jkps5jUgKF1MBrLhXaXjl29ENgyMNWotlvNiTKl9C3o6HOeZwCQQUxG+HOwxoAE1ah22GGHyChggJB+A+saSCkiGKBPMKZ4Dv2TnXfeOf5/Npmkj8L6FwYzee08CMJjSV0i6KMqFmsYSP/kQoqZajNYaGE0ykTYROkgV5NIPeddEhDwxaDzQekwFlAyEohHH320IyeU2QJOHuV4DV6bTj+BCKXpqEgBOvjMBPC6pFJUllLki1dedSKP/LDoiQaCqgg8h4CEcoyUpGO6kdfLFypYEKzUG58ZszCVea9Sb6CDxvegVipcXgQKAmu+I6QEcewWXVDt9q4g6CfdgkEARt7AyOrSSy8dU/W18P9wQqZdyTOQam4MMJGzTQeO80O9cKyQPqf+g4FJggBG6TmHk8HAmoTyFEbWC2y66abRjyBQIKCgbDPp0GPSTnWGfgb9C6rKMStBJgX/JwueyyshEpiw0J0sDIIZ2lfeN4Ohqs5goYXxRTv88MPjRE0Hm2m3DTfcMC222GJxImChGTWhyeOkXjSLhlhEBNIPctRPqlLeBCXjCwW+9EzTMWrEVB9yTiJfxrXXXjtuK8dIAylMvDdOTETwYNERHXWmFhdddNH4mRGJvINsuZ///OcdgU290ZBQf1nqTSziIwVjo402Kt1SbMUVV4x/+U73NGDmNbpixx13jPaAiiMZbQTf3c6+h7RDzDCwzsGAofkxC8SsFjnj9VqkTrDJsV2UJqT2xIwig3qMzDPQQOebzIGcrUA2Av2OM888M1LDSK1koLBWxbV6YbaBoIG2lIFLBkE45hkYBX2ZzTbbLN4zA6IMpLKekYEcFXOBszrFl4nDJOdx9hbWQlA/uTKnux5oGKjMUM+RDakaqq0wokYQXA0BPh323CRzgmNRHqNwvY2Zxvy9Iw+d9QvkI9fC+2aAgJkKBgbUnLbbbruoIHPaaad9a4Oy7iId9Wc/+9k31hqoPdHhZuCRDjnZBm+++WasQSTtKK+1Yj3M9ttvH8VWaNdIE6pcdNxbCGSHDx8e2QSsxTr66KM71khy34gRIyI9in4OwQwzDfYLvs2ZBXWKUYPeDhRAXeu8YVS9sQiPzXykRqIDzTQ9aw5qBQqonO0iZYkFljmtEOVjO5U/17ov6+xxnFTBKFy+j+/KwIEDo9Y5s5TVcIIlpZCF26RPqTlR2CJvZFUPHCekvBootD8yBVhATAYDgQKDGRQ+YWYyBwqsUeQ6G/CRmsTagb4KFEAbynosMi5YTE1Qw47g+T4GDQmeSVliYMZAoZjBgpoWI7GNyiNkVCSXdJUagWl4TpRMu5PHWwvrgMpTAUkpJKWD0f165pV3htxj0PEjYOB3AOVRWfRMKhWFCqoxYGhujPJyXDGzWi8EH7XK7Kr1Mep+1FFHRcEFOtakItMWECiyaDjPQhJMDB06NFKRqDxI2nOzdL5ZT8PsF++Ljf9YbwEKSLCmk5m2RmQxtAvTkNTUGF2lWkte91BP1JcnXYKRkLzYW6oHarJT6YO82PJSjtWQ20sJQKbtwegXPzN6xw6y+YRLc13tZ9TrcRRNYO8U9kNhtiGPGoLRRKqqsfaINVFFeC06pHmNVGfy+0J+D7WUPx5j+pyuPL4/a8TnS1opC1wJnKnIp9bAugQWKdMmsHcTqTycl9mzIK9jBEVQOKfS3lGNkVKnzYhBQhb4sxaTvWJyQQnWW5FuSRqlvs0wSk2NqgW5Qks90VCQa8mUKg2fVC+k6jDtTYe/K4ECJ1kKCFDeGJdddlmU/iPgIFDoC6QZsLEjI4ikqzB6nBEkUM2JmRBSk3i/bJJUjs4ivz8dyK5cyhXdX3mpVPSYyku5ovu9fH2pVPQYLnS8SBXl53KVj+NCRRwGfeiokRfO8a3mxc7LbFrGOioWMTN4waJ4OtWkGeVAgb8jFdEolEK6IqP0zRoogKwCFj7z+7DPDesrwIAhu3nnRc7s/Mxxq9GcWVDTYxM4tm6v92jgXnvtFVUQqI7EiIjUU3SameKm5ndXNhpkzw86TxzjpIdQSYzNg5jGJ+DIKUj52Ke5rvYz6vk4KuVQM53bWAjIuiXSqspnGUAKFekJ5QEDHQzeO98tKeM4ylX4KpHmwjFDR7N8Nk29jwEAUhCZ2WTN4r333hsXZhPKZ/mZZaDEOmmKjMrT7rXKjshUaaLtYqCGBdsg3YrqjKRjMoPKWhzLAY9msKCm99BDD0WuLeVW64mGgcWbpFo0Yk8H9S+MSLFAjvQjZgY6Q2eckVnSjzghgxF7cmrz2oFmwmgw6Uds4MaiwGqLFjmlMNpIx5B8YLUnOloEu+y+2xVswsleQLTloPQ2i07LjxFek8IT7LLPcUS6EmlLHHP5O6L647MuCs4495KCRDDArscZgQRrF1i/RIllZhk23njjlgvwGPxgAzl+t3wc0yZT+p31DQQRDN7kTW/7M4MFtQTyXZldqDcahbnnnjtOUn1R8UntgWCTmt3MKlSOvBe5+OKLYwEwlZIyfqaDzU6jTP83C1L2zjjjjPiekGrA9yQvwCaPOe/Jov6FXXBZ9N7dvRX4znA85Wpfk046aQQGOR0PzFbxGDqtlPNlVoJBI445Ktmo+0i/YQ8VAjjWGJTn6jMowMg6QVplcQb26TjyyCOj2hGzCaQsNnKH+UZiUGPvvfeO9ozgJw+AMNvLfjisZyTVkna9v890GSyoJVDHmZSGRlSGYfSAae/O6shLRSjDR2eaTYA66zixnoERemqVs7gun4DIjyVflg4RqXHN1hHifbPLKXnnVChjJI7fl1E5Ogz8HiwUZKSY+zjpElT09xNsuyKopU2uV/lVkPLBKDZpIWA0l11+Z5pppo7jiP+XIJuUmBxY5w6ts1i18R1mo1ZmbpgFJTgjQODz4/Ol43zdddfFWj4GBlibVI7AjZlTvvPMCpFmOWTIkJaf8eF3pjISGQbsEwMGSEhN5vhmBpgdoNl4sruBcTv4VrBg4/5N5R9PVz6bytirUc/pz3r7b+Lfo7be+Hy783/0JlLa6LjUQgeHUTyqDK200kqlW1PMSHCiIlBgWrw3S6WOCd4fo2/k8PI71LLVVltFGcJ6luhU66M6GJ1/ClcwGl3rO8MCetJcXnzxxbjOYxdYYIFIe8klLvne5VFwZihoF0jjY91DrnLTnxAQMBpOIFCeCsnu6o899lgUXCCwoo0hmCediOCLz5Dr7AVTXuEIBAlsZEbBA4IIBgeocjbddNOVHtH6GLh57bXX4vdixgQECRx7a665ZqzNoJ2mDWQGuNq6m3bmzIJaRqNSkaRG4eTCyBUpF4zAMTKfO0iMjDI6TweHkxUn5WYvKcnpgvrqdPpqYQSSBdpSOXbIZQSb0Wl21OV4ooIOnVRmpGp1wnge6Uh0enO3hRlhyl/nEV9uZ20Eo+ftdK6o7KZVDpbQjuQAgCChqNOfMXPDWhM+f4IuPj8qBFW+ZnmQQAea6+yn0Y57ajBbesEFF8R6Bdo3PkcQrOZ1ZZSJ5rMguCovtd6VgavO/n6VKh/fDAwW1DKouMLUZ478pWbEyB7lBVkPAzZlowNDZyfPKJBuwSj9oEGDYgSVGYVWaoo52VFOtagmOffxu+QTYj1/L9IDSNFqlYor7YgN90hDYQS/OxjBveOOO6KDxsg2C57puDIzQHDNrr+kwHBs1QqeOa5YCE3nje8W1xntZuTcfRxSpDrSBj366KPxvQHfSaoZsXdRtc+IzjEblDGDwI7HBAks9uU5nXVyWxnVkUiF45hiRjQP6vA5sPiZtRocY3yeBLj9jWlIktRDnGhAc0r6AyNPAwYMiNuuuuqqODFzsmU2gdFVRlZJFSAne7XVVuvoYLcK3i/19UkLqaz8lH+XfC6p1+9FWVk6kARX5557rgur+wjra9hDo17oyJJGRCc1Bw98T+ik8TPHF98nRss7Sy0inS8vmiafvr+g/an8nhFUM7tA2hYBWC18t/70pz9F6g2fN48nxWvZZZeNdqu/YCaF35tAljVaOd2NdWYEXgQMrGPg9s5mV7urWc8DziyopVClYIMNNujXC43UOthwjV1rqfDCXgqccMgbZo+PSq3UFHc2qMTvUu9ggQ7g3XffHZVYzjnnnC7tY6H6evLJJ9Mbb7xROKNUL8wy0OGn40rHjcCBf/n7Eyiy8JkZOYIH9iPp7FjUt/GdpOPLIl5SJEn/YnCDYI1BDDZW64+j53wurEkgZZSUN8pgE3TRjhO8ku7VXxksqKVQqYGForPOOmsstpKaFZv7kApApQ1yYAkYOBmz+JKOTqVWaor7IlgAI82kmVDWkDQY8qcdOGg8/oYs8rz22mtjL5De7KDzHaIwQK6AxHXSlSj9SQDBd4t0Gcp/knufR4M1Gn87Bin4DOkA8zNpW6QjUUGKz4vO8eDBg6OaWX8Pvvi8SMMinZQKdQTItNlDhw5tq0XdY8o0JEnqIdIAGBGlJCEjdZQonGWWWdL0008fnRlG7ljwW9HcdqDdrXZfM6p8vyyaZPSNDYzyfflcUu/fi4CBNSH8S+fGYKHxSO/ZbrvtInedTiWLPftKZQUkOr4ED8w6kN5HrnneAb2/IC2PIIrfnzUGeQE5GKAgtYgZGS58L7kwM7fiiitGG6VvYzEzs5jswcDnyYww6aRUgptsssnSJptsUnpkfTXrecBgQZJ6iLQiRuc4MbPgMucJM9K59NJLx0ZtnbWtzXqSKNKV3yU/ppV+LxW7+uqrYx8a1gwwOl2t0k5f4PhiUSqLpgnW82JnNtLqL/bcc8+OGQJ+d4KnHBhwnQELZuJZY5TXUqlzbNjGeg5Ssmjbc1vGQAVFKRoh/x/NxmBBknqIUo2cqK+55pqo1V2+C23Wn4IFpvCLPgO1Ho5LOkZ0nPL18kCw/GdUu6+3Hkenrj+mItEGkS4DggU+gzH97Br9OPT0NXrrccxe5Rm08scxq0kKHDNsjZLfSzNxzYJaDtOrTAVSupGFblJfI5d6xIgRUdud3YuLcLKp1tzWuq8Zdfa78FmQ4wtPMa2PdSKUAGbBp9Qf7LHHHpHS9oc//CFmaXoqBxut2h66Ekgth81nqIPMFuxSXyNvmsXMzChUCxT6G9YuqD3QueG4zjMLUrtjMzZmRll3Vo9AoR2YhiRJPcTMQq3dZ9FZ29pKI05d+V08l0jNwe9ja2nGc4FpSJLUC/prsOApRlKrYIfyhx9+OFKdV1999dKtPdfq7aHBgiT1Ak4W1ZrbWvc1o678Lq1+cpTUv+Q2K6tn29Xq7aHBgiT1gsoTUaVWaoq78rsYLEhqJZXtGqV4r7rqqviZnfgpqEL54O4wWJAkdcpgQZKaEyV3qX7Umcceeyz2zxlTrd4eWg1JknoJJ4qiSysq+j24SFKrufTSS0s/fe2TTz6J2YXy9q07gUI7MFiQJElSv/TFF1+kBx98MPYRKQ8MxhtvvDT55JOXHtW/9SgNqdpUdNFLjsljx0SrvS78LL7mZ/E1P4uvteNnUe0xWT0+t97Sld+ls8eoMepxHPXl96Q7GvW68LP4Wrt+FmeffXZ6/vnn05AhQ9L0009furW2MX3P+fHl9zfq924E1yxIUi+odmLIWqkp7srvUnRylKRm8umnn8aMwg9+8IPYrblRWr09NFiQpF7AyaJac1vrvmbUld+l1U+OktpbbqMy2ipSkr7zne+UbqmfVm8PDRYkqRdUnpgqtVJT3JXfxWBBUjPrrB3L6tGGGSxIkjplsCBJzaOyHaOtuvrqq9Nbb70V16eZZpqofsQeCz1lsCBJ6hQni2rNba37mlFXfpdWPzlKal///ve/02STTVa6Nloj26pWbw8tnSpJvYQTRtFFktR7TjvttLTTTjulzz//PDrwDmrU9q2ZBU9cajet1Ai8/fbb6c4770xPP/10XG9kdQb1zMEHHxzHVnmbyfVJJ500LbjggmnQoEFp/PHHL93Tedva18cp/z8lBF955ZW09957l26VpG866KCDSj990xRTTJFmnXXWtOiii6bvf//7pVubzz//+c9ovwcPHpzWXHPN0q2j0Q6eeeaZ6fXXX0977bVX6dbe09fngWraPlg4//zz07jjjhuXVVZZpXTr6IP9o48+SgceeGDplvrKn2N3/vBsO/7uu++m7373u1HOS+2JY+Pll19Od9xxR3rttdfiNhrbBRZYIIIGbqPus5rTWWed1fH95vs+zjjjpAEDBqSBAwemN954Iz366KPp448/jvs5ef7sZz+r2h7w/O60FfU0fPjwtMQSS6Qnnngibb755qVbJembaPuQ2yz6V+T1TzzxxOn9999P999/f7R9Y489dpp33nnTUkstFfc1iwMOOCDSkI444ohv9XlPOOGEOAfTDvbF+bevzwPVtP2aBTpjjzzySFz22GOPbx0Y/PpPPvlk/DzbbLPVrWRWd4MFNgbZYIMN4qT9ox/9yJN2GyEIfPzxx9Pf/va3aKg4RmaYYYY011xzpRdffDECREw00URpscUWq8uiKvUeprPffPPNCBIYuQJ/87nnnjt+XnzxxdN+++0XJ6IVV1zxG21NMwQLnECnnnrq9Otf/zp2LpWkrvjvf/+b/vGPf8Tl1VdfjXYPc8wxR/re974X57z33nsv/fjHP45Bk0aUJu0q3uOhhx6a1l133bT00kuXbh3tqquuitKpnI+33HLLOBdrtLYPFuiA3XDDDfHH32233b4VLFTT04+lu8HCDjvskOaff/602WablW5Rq/rss8/SqFGj0j333JM++eSTOCboOBIEPPXUU3EbppxyyuhIuq18++H7T/DASBsn0Ommmy7SlP7yl79E57xcXzfFvB+ORUbTmCWRpO6iPWMglraPYGLGGWeMzvdNN90U7cs666wTKUu9jQ3YOPcedthhpVtGe/jhh9Ntt90W75GAhrZaX2vrYIEI8aijjopR+pdeeilG7CuDBX79e++9Nw5qDlxG8+uR+tOdYGHkyJFpiy22iFHlk08+ucvbjqs5fPjhh+nvf/97evDBB9OXX34ZaWSMItP4EBxwPIJGkxGWZs7pVGMwqnX99dfH8fGb3/ymdOtofd0UM9q26qqrpr/+9a9pu+2269PRP0nt5YUXXohAAUsuuWS6++67o1+20UYbRVZHb3jmmWfSkUcemX7729+m+eabr3RrihnhESNGxPsiFXiRRRYp3aOsrYOF448/Pi277LLpwgsvTPvss0/kzxUFC43Q3ZkFIluCBabu1NzyYmQCAdD5X3jhhaMj+Oyzz8ZtHAfUaSZoIHiQQOB47bXXRvDAIrsbb7wxjhumvvtqnRKjbSxsZlbzmmuuSVtvvbXT8JLqinaObI/nnnsuLb/88umWW26JbApm1xuNgiHMapTP6jLrsfvuu6f1118/gobVVlutdI/KtW2wcMkll0S0eu6558YiZhbgkBJy+OGHp9NPP72ho7osTHUKqz1ddtllHWtcSNkgCCDVjTxNEBAstNBCac4554zgVKqF5peOOWurCBo4vjh+yosx9CZS5/bdd9+oEEKe8UorrdRro36S+g/aPgZJcPvtt6f9998/fm4U0oyOPfbYqHDE7D54D3vuuWf61a9+Fe0dAyQq1pbBAtVlGLnjQBw2bFh06pCnnhp5QDCLweLG1VdfveOAVPtgGpMqCXkxMkEnM0GmjKknGG279NJLYyaKjYI4eW6//fYxJd7bOCUcd9xxMeBB8MD7IYdXkurtjDPOiFn6nXfeuaFrpdhTgfViBAcZwQPnbzI6fve73znAV0PbfTKkfzDKSxRJtJgDBaa9Pvjgg7TpppvG9UZg5oIgZcIJJ0wzzTRTnPi9tNeFRo28RqpUcVlvvfUMFNRjnCQ5ln7yk5/EgmjyeMmhveuuu0qP6D0c50OHDo2KSOy5QFrUMccck955553SI6S+R+lztS4GJZhVnXbaaWNQopGBAusjGODbZpttSrekdMUVV0Q1QmYUuN1Aoba2mlmgNNc555wTBx8nupVXXjlupwoJBwOdvI033jhuawRSnNZaa61IU+mrNAJJrY0m+aKLLoo2jBK7nEQb2W7VQilnii0w8EL5aQIHZk0JKKTewneCgcD77rsvffrpp3EbxUDU2ljvd+WVV8Y+NJVlTOuJWVoGcHfccce4ThESggTaM9I/CRpUW9uEUozon3rqqXHQvfXWWx2BAli/QMBANaRGYoSZ2QtW/bdRDCapF9ERZ7EdmxmxwRGldsnnzdW0etMss8ySDjnkkPTAAw9E4MJaHCrMUYpaahTS8jjm2PyLNJW8oy4VC1mIz0JUtT7aE2ZUGxkoUIGJftlWW20V19kwk8qT7AHBeiwDha5pm5kFcmyXW265GJGj8lEe+WJ6i7UKbIK09tprx22NQgPHans2NSIHji8Cq/0dhZPUHZTjPfHEE9MKK6wQu9GzqVtfVUqjzCHFIQhiWMhP522ZZZbp2HRO6i4q0lDCnAo5YDaNzSo5fzObQIBAmsigQYOiFPokk0wSj1Pfy4MYY1pqOfeLGtkF5bXJKqFKIZXmOI5Ys0CaJwMeFHJQ17RFsECAQMecFKSDDjroGyfTU045JaacKKPaGzlp//rXv2IUhHUL5B/T0PF+CFYGDBhQepQkdQ07Q9N+MV3OHghsLtmXWJvFyZfSr1SZy3vUMFjj3gzqClKGWY+TZwhIuWOPI9aEcXxxzBOQcpy5J03zyvtXTTPNNNEPG5Pvf72DBdZUkSpJv2uCCSYo3ToaQSfH0/Dhw6PC26233vqtfW5UW8sHC4zgk2LESZTV7uXVQ5h6YoX7Gmus8Y20pN5A/fTzzjsvvgiMCrLomipJLLhmNI5V+ZLUFbQjJ510Upz0Ntlkkz4fWS2fLSVVhE2MGBlmlJFywlxcMKiMWSiCA87JmHjiiWP/GdbE0MFjVp4OHpVpKB3sPkOtgWIMrAdgTRXrNKeaaqrSPZ2rR7DAsVO+uVo1/B/0v66++uroL2622WYNXVDdjlo6WKCMJbMGNER0yCunw9mpj/rlVPLoq1QgFmNxgHJQTz311BEosKiH/F/eE40mIycDBw705CqpKlKAxh9//Ni8qK/LMpe3p3T4KPtKytRSSy0VAyGUF86nFkb0aJu52Alsf/zdKxcjM/LM+heqFHLe5jEEvBQdIbXIjltrYVDgnnvuifWZFHZhoIDZoTFRj2ABPJ8+IH0s1quuu+6635pZ4DHMgHKhKtKQIUNK96irvhUs9FWnujvI4eVERMoPaT7lOGjITdtwww0bunhmTDDlSrmuXKOf1CmiYnLnWHRT+aXhb9FXVVAkNQ+KNJDGSKlBNpns63aa/7+yveI6J2x2Yz344IPjNmYcWOPARpUEEKSX8Nzy928b1z5OO+20+Je0NAbH6FBSfhdcJ5Vu9tln7/PjVz3DDCeDoAR5/E27M9OZj4HKdqQeKo8v/g9mr9ihniwTMj8aXfCmuxrxedRDy84sENFefvnlsXEQq+krUT2EvEhmF5oRH/vTTz8dmy8RPOQTKBdmGWhYGYUjrcoFhFL/Rp1wSgyyMK8Z2oPKk3El2jfaX2Z+H3roofTxxx9HPjPPY50DgQ8pC7RxjDi7nqv18fcmb511B6BUJTNN7kOjIrkNaUQXlMGV66+/viN4zaiwRb+RwWUWyqvrWnpmgbKCpPFUYlqcqTHqMDOy1UrIp2OWgVkIRuHI4ZTUvz322GMxWktHuxl0JViohtQU2jdmfxmhJBVF7YG/KwNdraiV+j5qX40Inuqh12YWGhlFZpVf9mb90CW1v8o2j+vV2qRa9zWjdvpdJEm1tWSwwGuQc8ZKfKY8KdnHxhr5/8g8YUnqK5VtXmX7VKmV2qt2+l0kSbW1XLDAtHVXp+I9YUnqKwYLkqR20HK1OlkQx4mICzn9lMKifq4nJ0nNLrddlZdWVPR7cJEktZe2WbPAwuBddtklFjxTHkuS+lLRzEK19q/Wfc2onX4XSVJtXa6GNCaNf7XXQE9OIrXe28UXXxybwAwbNixNO+20pXu6ph6/czWNeu1We134WXytWd9zteer+/Jn39lnW4/jqrfU63dp1u9BLa32nv0svuZn8TU/i6/V63Ub+Zn2tbaYWSAdaffdd0+TTTZZ+sMf/lC6VZL6TmWbV+1EkrXSCaWdfhdJUm0tHSxUnrCojMQmZpLU14qChWrtX637mlE7/S6SpNpaIli49dZbY6O1sccevR6b3T5XWmmljtfMPEFJahaVbV5le1WpldqvdvpdJEm1tUSw0NmJKfMEJalZGCxIktpBW6UheYKS1CyKgoVqbVSt+5pRO/0ukqTaWm6fhXL7779/LGj+6KOPPDlJanp0pIsurajo9+AiSWov35pZaMbGPr/F/N64nn8++eST09Zbbx0/13pc5c9o1cehp6/Rlce1m+58Bo14HMb0NdS6uvq3zI9rBfX4XTy2JembmvU80LJpSGy89uWXX6Y//vGPsauzJDWTyjaP69Xav1r3NaN2+l0kSbW1ZBrSgw8+mCaaaKI055xzGihIkiRJDdKSwQK7Nf/73/9Ov/rVr0q3SFLzY9S96NKKin4PLpKk9tISaxYOPPDA9L///S/ttddecf2YY45JO+ywQ/zM28/vOf8q5der/YxWfRx68hrDhw9Pv/vd7+Lngw8+OP7NO1+T1rXvvvvGz+3mtNNOS0OGDImfu/pZNeJxGNPXUOvq6t8yP64VdOV3IU302WefTaNGjUovv/xyx3Noy+eaa6601lprxXVJ0mjNeh5o+mBhq622Sp999llsyDbppJOme+65J05CI0aMSAsttFDpUar06aefpttvvz098MADcfB98cUXcfnwww/TJ598kv773/9+42/N5/vd7343/j3uuONKt7aHoUOHpv/85z9pvPHGS5NNNlkad9xxI32NVLbFFlsszTfffOk73/lO6dFSfeTvV25iuV7tRFDrvmbU2e+yzz77RDvNz8wCU7GOIIHrtDOnnHJK6dGSpKxZzwO9tsC5pz7//PMolXrnnXdGx44dnDkBDRs2LE044YSlR/VvL730UrruuuvSO++8EydqAoK33347fh5nnHHSwIEDo3O88MILp8knnzxO3P0Jn8+VV16ZHn/88QhA6bRMMskkafzxx49AggCCz2bRRReN29SebrvttvTnP/853X///TGTtvzyy5fuqa/8/cpNLNdrdbBbpCkORW3Hueeem55++un4XjGTANaV/fSnP03zzDNP3C5Jaj0tFSxwYmd06re//W3ab7/90lRTTZU+/vjjqIzEiHF/xKjdJZdckl5//fU4gb/77rvp/fffTxNMMEEaPHhwWnXVVdP3v//90qNV7l//+le6+uqr03333ReBJ0Eosw0EnwQLfJ6DBg1KSyyxRAQVai/PP/98WmONNdIjjzxSuqW+coe6PFiopdWDBVIZCRJmn332tN1228WAhCSp9TV9GtKZZ56Zpp122vTcc89FZ26OOeaITjDOOOOMyIdlRJjggY5ef8Hv/Ze//CWCKNKKmEGYfvrp04YbbhijeZ39HUlHeuONN9Kbb74Z/xJ05edsuumm8W+7GDlyZHwm5EnX+lz4TG6++eZ06623RhDGYzmmJp544o6ZhllmmSUttdRSMUuj1sXxznqdQw89NNLUDj/88EjBq6d8rLVrsMD35eijj452mfaINQjrrLNO4edIG/Xwww+nZ555Jn7P/D2SJH2tWc8DLTGzsMACC6RXX301/ehHP4rgYcYZZyzdk9Lpp58eJyFOWCyEbvf0kb///e/pqquuit+TtBqm9gkQllxyycLOCH9eHke52ffee690a4pO8DTTTBOXAQMGtPXsAwEVazeefPLJ+Dz4nDiW5p9//jhuqiFV6e67707XX399BFQ8l8/pBz/4QXz+pHYxu0WnZ7bZZuu0M6jmwt+TdKQVV1wx0tDqLR8PuYnlev65Uq37mhHvd9ddd41UR9IcCbwq00Fpc0j14jvG58vaIAZ7+N5IklpHSwQLnJhmnXXWGO2log0pIxtssEHHyfjYY4+NlBJSRXKVn3Zz1113xUwCnVXygmeaaaZYr8Gi70qM4jE6/tprr8X1mWeeOS244IKm0pSQysa6BTozdHTA8bXIIovU7DTyvEcffTSCNQIwnpsXTTO7lRdNM1ItZTfeeGMEl6SztUOwwLofvgekbzELyfqxjMIK3M+6KQZ5WP+T22lJUmtqiWCB/Fc6y2effXbkkL/wwguxSHGzzTaL+/kVttxyy+gUM8o+wwwzxO3t4B//+Ec68cQToxP61FNPxazKTjvtFKPb5ThJX3vttemf//xnBBTLLLNMmm666eI+Ph9uZwZBKToyjIJSFQl8PhxT9957b4yUgtQ3FoPXSm3jeS+++GIED0888UTHoulTTz219AgpRZlnjosjjjgiijTkymN0pvmeMvLeKsEC66NICX3ooYfS8ccfn6aYYorSPSkq1TGTsP7667teQX2GQZ16pxRK/V1d1yzwUpXP7+ptvaEV3x97HrCwu5yfXzH+X3Tl/Rx22GFpl112KV2TGuess86KmQXSJVkjRGeGGakpp5wy7mfGjwGAfPw2K4oBMKPA5aSTTuoIpJnJZCCH1D7SIbuC37UnHbqi73RXb+sNrfD+0Ozv0ffXfe30/tDs77Ge7y//zs2kJWYWypFDTgrJFltskS666KK03HLLdZx0OeHyM+UvKdfXqqjOwwgeHQpGrvfYY49YoFuOHHxmWyhJyOgkByqVkC677LLokDDzsNpqq7XVLEsjsPcE6UisBfnggw/ic2QhNJ2efFyBNLe//e1v8RmDmYnFF188ZiC6gt3Gec1tt922dIv6C0qK5jUyGbNbrJe45ZZbIpWQWT9mplZfffWYcWg2BDqXX355zG6yRwKL/kGq44UXXpi22WabLq97Ov/88yMtsrJNk+qBma+f//znsUYtzx5L6pmWCxbAyYra6FT/4efcAaOzx5oFOsosvivv7LUC/hSkHLEQ+bHHHouAh1Sr8oiVaX6m++lQ0FnlOQQXpMIw9b/22mt3pB9pzDHqS4eI/TwIEPh8CbhYxFweeLHJGwEGnSX+PpyUyM+mykvlCAN/L1KaeE3+Zup/Lr300vhe/uQnPynd8jU64rRjVGgiUKXtajYMxFCemepHLOoH63aYbaCUdeUxX4TvEmvOCJr5PaVG4DgjcKUyF7N6XTk2JdXWksECI3Dk/nKh1CXT+IxUgdHf8847L6b9uZ/9BloBAcIhhxwSjRz134888shv5P0yW3DxxRdHh5QOB3+2v/71r7GQmYWTLDK0ykhjUDv+jjvuiPUjIE+b4KG8RC1rHVjz8Oyzz6YhQ4bEbRL+9Kc/RRDKDNYPf/jDtPnmmxcWJnjrrbdirwJmGZjxWm+99TratXyc8b2v9jPq/TgcddRR0f4wQMF6BFAdjACI9WT5OZ3h96PtdjBDjUZASl+AdTUEs5J6piWDBTCFT84saUgjRoyIDhoBAnbfffeoTEMu7UEHHdT0nWhSipjKZ2aEzsRuu+3Wkc9LJ4N0K6y77rpx+w033BDpCyussEJaeumlu3yyVn2wpwWzBFSl4uuTU5IoDVlZipWgj6COBfnMRnBcqn/iWOF7zmJ4ZqlIM2TTxMpiBaQtMWJP2hIDIVtvvXWXO/f1fhwLmXkvBMzMfoAqYMOHD4/Zhq6sOyCQZhZu2WWXLd0iNdb2228f1bpI0SVYyLNhkrqnZYMF3vbvf//7WPzLCYvpxpyOxH1UR6L2PSNZe+65Z8dJsNkQ9JCGwDoM3nP5WgvSYa677roYYWQ/BCr2UGmHx5CGpeZAkEdniL8js0Gsp2km5V/xrnwPKpuEMX1Os37XmgWBJiP17O9A+iA7rvOdJoUtYxR+5513jjVJfJ45NYnPOX++lT+j2n3deRwXBi5eeeWVGJDJM50sZua9Tz311HG9FtZmsHkmHbaurmmQeuqaa66J8z+BOeuAJPVMywYLYLEpeyzss88+sYMo5UFXXnnluI/RL8qo/vjHP4588maciiTAodPA6B1T/QQEGbXKSUVYc801Y1MxNqPjXwIKR6dbBwEeaWV0BnNHrKc4xtlzoyfVZNS38iaBtFE0wQQNBJ0shM9/V77/jJCyW/hee+0Vt/HYap17VLuvO48jjYNZMWY3dtxxx7id2TQuFE/oDG0waxSY9TVFUn3hhBNOSL/5zW86jmtJ3dPSvQ02wyL9Y+TIkWmhhRaKkyzVksDJiVxhpiJJ5WE9ACffZsBJlPQogptnnnkmTqg5UGC/BEbx2DOCQIEyhYww0tlk5sRAobWwpoZUuXqdrNhLgxkMA4XWxloE1gDw3Qedb77jDH5QzQWktB133HHRTrD+inahN5HuyKxC+UwZI7akTnWG90wbTAqVgYL6yuDBg2O9maSeafkeByXSyCGn4gxT45QaZeQLdKxZ4MR1dn1mKp+TWF9iITNT+8wSkAd88sknR847qDbC+2VXVNIPmE0gZYFZB4IHtRaCVC716ixx7Gy88caxMZ9a39xzzx3phHznOU5I62EDN2ZJWSwPgkIqELG4nh3sy4POyp9r3ZeNyePY44W2KZdJ5X0xOFP+uCIUXcjvX+pLlCymsqCknmmL4UlGr5guJ+WDaXzyxxmRB9WQGK2j+gi5wYzOUVUoT8f3FmY1GEVkYSDBDYsa6SSwkysIaEgtYbqfIIe0A3KYmUJ1FLk1EehRNale6EhSznX22Wcv3aJWN9NMM8UMIvujgI44a5RYs8A+KiDYJGAg/5qNBGnHaL8aeWGAghQoSjdnBABUY6uF9El0ZfZB6g0E5awJlNR9bdEL5QRLBSQ64wQMjMzT+SbnNt/P/guULCTth9kHShRy8m00TrxM3bMQm6og/P90+oYNG9YxQsesCI3ZVlttFZ1BNmGjJCFTqGpdLFCvVz15ZsQoj8vam65uBKfWwJoE9kdhtpE0RPziF7+IgIFyq2DQg0ER1jXQke8q2pjuXBi0YCYrbxDHrAZrF7ivGqo4URaVCjRSs6BiINXoJHVf2wxZM/q23377RXk/AgZOvqQeUW0oYwqdSh6M8nMiZDRv7733jnrhnKjrjfUSdPzJQSaNgFKu/P/5BEwgwXvgvTC6yL+U2uT3oNa6WhcbbOVSvvVAigoL9Qk6N9lkk9KtaidUbmONAu0EfvnLX8ZoPu0Y6ISTEkRbd/3118dtjURwkLFWptqiZlKoWEjK/i95XwipWRDgEpCzgaak7mnpakhFCARYzMxiQU5eVBxhoR6zCnltABippVNOA8I0JYsJSQ3aYIMNvlGVaEyxIJAAhUpNvCabdPF6rFPIub8glYA1CUzXl5dM5M9Ra/ROrYEAlLry5Rvr9RSBMLNPal8ECqQnkn5IqVGu007kam5cp7oQ+zQceOCBnbYV3F/UxFe7HVRnu+KKK+LYHTp0aNxG+VPa0Eo5wKHddIBDzYp+Acew7afUPW0XLGRMiVN1iFFY0n8oU0pQUJnaw0ZZdMJYlMeGaHTs6eRzMp1++uljoTGdeTaAK8drExgQDHBhmp7buDASSDDC86lgxKhGOTZU4zmkS7FmgfQpZhbq2bFU36p3x57jiRz2NdZYo3SL2hXtFemIeadjZhdIT8rrX0466aQY5KDKVmcbnXUnWKA9on1iE0iqzKEoWCAlivdCelT5QIjUjOgTMDvmsSqNubYNFkAZVUbIWBRImVVGzCijRgWlOeaYo/Sor1H7nFkBggBGIpiGZ7ExHXqm/gkiuDDtTtoSt3Fi57EEHYyyEXAwW7DIIovECbkcOewsxOYkT5UGnsMsyCqrrJKWWGKJ0qPU6ujIkWtO3nm9kL7Gwld2/VX/wAJ52hNmEcrrxZPixkwDi6NJS6ulO8ECbRJ7gzBjQOob7dv5558flbgy1lOcc845sbaKx0jNjkE8ZnxN45TGXFsHC2AdwBFHHBFVPHKFDtKSOBkuueSSadCgQXFbJYIBFh1TVYkF0aQNcdLMpTAJGthCnso0c845Z5y4q500CVIIXCh/+rOf/SxuYxMmOpQsdi7PDVbrI22EzbbquSeGKUj9D03z6aefHu0UFdEIQvNMwk477RQjpKQk1Vrw3p1g4bDDDuvY/wW0lfzfeVaW6+wsb6U2tRqOaYKFXIVQUte0fbCQMUpHWT9GxxjV59fOJVanmGKKmG2oTDXqiQ8//DBmESiTOt9888VO0pygmV2gA8DiRWcT2g/H1amnnlrXjj1BK2ludBrV/1xwwQVprbXWiiCUlB/Qmaec6myzzdaxu3KRegQLtJHMmpKSxMAHhRt+/etfx2tIrYTzMZWRKIBSieOc7wRrbxgIfPPNN+NnUkC5ToVFZnbZ54afuZ9iJS+99FLpFVIMHBYNErHXA4OM5dXxaNMZgJxyyikjGCfoZ60jayvLX4OBSqqhEeDw/vl/GeSkkAsDkPn9vfrqq/GavEfLa6ve+s2wEB2tgw8+OHa/ZeqeQGGxxRaLky+l1ShvSiee3Nz7778/0ovGBCdTGht2jeY12DOBHGNen4XWzEgccMABUSaV92Gg0J44dhZeeOHStfqgBLDHS//F3jHMWtKZoEMAOgMsds6lVuuJzStpC7N55523owgDnSMGXAwU1IromLMeqDJQplohg4l8n/KxTTBOUHD11VfHbWQD0Gmnr0A/gr2bSAnkOQwQ8S8BQSUCAAJvzg0XXXRR3Mb/x1oknkdfI6dGkQVB1kI5vov5/eZsB9YLrbzyyvH/U0qZ93fiiSfGeyAAkeqt38wslKPjzheeNQosaGbUjjUNYIEyX0a+lHyJmWbni5gbkKKPi/sYCWCUb/755//Wl139B+lCW265Zcfx0lMcj4wok26i/ovjiY4AG0putNFGcds222wTxRPYwLHa8cbt1dqsak1/fq18f/ljaz1PagUs3q8ceacTzwAi3ydS/Djvs37x5ptvTsccc0w85tBDD41AmjRmAgdKGVOYhI4/BVLK1/SUo+wwjyfdmMFD1iDRsSeN76CDDopCKMwIsJs7fZL8/c4YZNxzzz3jZwIYCg9Q5ZEZDYqi3HfffTEAuvrqq0eaIunW9drfR8r6ZcIpDQGLT9ljgTUEzATwpT355JMjTYg0JXLOt9hii9jBlKpFRP5c+Lnywu2M/lFjnPUNLEbky8v0ofoPOnMEjbmzVQ+chNzkSnTQObbK94NhnRTBJG1ObzFQUKtjUI/vDcdyvjA4yB5Hv//976N/QGoP+yMV7ZVDn+HYY4+NNGMQZOSqYUWYQWATWBAY8H/lAivMAjBLQLoTWQnrr79+3F6ufKaAdCUCGgY06XdQsIWBTtY/UvSAYi4GCmqEfr86jfzDnXfeOXaAXmeddSJYOPzwwyNvlwuVQaj6UbkDJF9gbieliAuPGz58eHyJKW+57777xr4N6j/YKGuFFVYoXasPFpPOOuuspWvS1xhFpKMxatSo0i1j7uWXX47KRlJ/Urkwn/QiUoDOO++8uM5MAMVHWMtIB50KiaQwgRmGESNGRBoQCDxYqwACAS7lmEmgqhnrFN944404Tyy33HJxH0UKmBHgMaxrrMxKYMaBIi30RUiJyusqeTyPJfBhTykGJpmV4HFUWZTqrV+mIY0JggJOpozo8QXNSGVi+pE8YisrCPWuWMQieabCmeVS/5bTf6gVTwld2hxmstg0jWCSEcUi1dKG8u10kFhQSUpTlmfG8vPKX6Pa60nqGgIA1jt0B9+9/P2UepN17zpB9M60X3mgAEYmmJUwUBCoUkFVrXpiXU0evZKQF2iCRc8MWnQVwUUlRkGZDTUAkHpHdwMFGCiorxgsSHXAIrZ6d+yZfu7JiUXth7KIY1qpDexgX5RutNJKK6UVV1wxKrZQwU2SpEqmIUl1UO8UJPJk670LtFpXTv/hX2YT8ghj/rdaM879lFglXZLa7JRz3n///Tte75JLLonSvKRZUhGGNVs5Nzu/Zn5s5c+SpP7BmQWph9hwhwpa9USlDRbXSZVygNBVzEbss88+UYSBBc3UjS93++23xz40VGKpdyqdJKn1GSxIPXTXXXfFBn/1wsgtI71FO4FK3bHttttGbfntttsuCjOUY58G0pGYcZAkqZLBgtQDVMti184xHe2t5aGHHoqdcqV6oSAD9dhJRWJTp4xyjYsuumhsGOX6GElSEYMFqQduuumm2HmzntiRc+GFFy5dk+qHTabY9TVjkyjWM0iSVI3BghqKlJrjjz8+dslmi3rceOON8S8dbbABDuUbWYjJQmEez0JLnsNOmfxbrQLMSSedFDtmU7o0u/vuuyM1CJdddln8e//998fmOeXolLOpFSghOXLkyHi/p556atyWX4Mcb95DZa43yAGnhG69MFNBud56zlRIkiR1l8GCGopdJ6eZZpq0+eabd2xDTyf9mGOOic2gQEeeHTBPP/302JWW/Gq2w99ss83SRx99FM9lkWYlcq95DVJ2WKQJAhF2uWTHbUpFUuGFAODmm2+OdKFyBCn5Pbz55puxyyZb/LOLJ9v933LLLXEfaUG8h1VWWSWuZ5Q2rfcu3TfccEPsyClJktQMDBbUUIzy09k+/PDDY9Qc7Dj7+uuvR750xuZ2lAklYGA3WkbWn3jiiTTLLLOUHvFtvDbb8DPqv+qqq8ZtBCfzzDNPBAhUFGLvA4KCvL1+OTa1yiP4BDDzzjtvGjVqVDrggAPS5ZdfHjMR7KLMbbx/qh7x+Hwhx7veeyvw+5AaIkmS1AwMFtRQpBMNHTo09iAgvYbUHkbz6aizoyyd+lz1h0WYuQY8CAYWWmih+JlRfPYeKEcwsdtuu8XMxWeffRY7Hq+22mpxH+lFBCDMMjCrULkGgECAevWkL/FcXp/ZC9KKKCNJgDNgwIAIIjbccMO06aabprnnnjveb/mF16+X999/P0088cSla5IkSX3PYEENNXjw4HTllVdGxx904CnTSPDArrHPP/98R9lRHsNOszvuuGNcn2+++dLMM88cPzPCTzBRjpkIAgtShFjv8PHHH0cqEUgZInCg0kvRZmkEKgMHDoz3RoBAlRjkmYIhQ4bE6xOIEEjwuDwz0igEO/WeqZAkSeoJd3CWmkS9d4FW+yAopqnO/2Z5Fq5aM175+Kza7ah8zfLH1nqeJKk9ObMgNYGXXnopzTDDDKVrkiRJzcFgQWoCjdivQZIkqacMFqQ+RloHC65ZAC5JktRMDBakPnbPPfd8o4ysJElSszBYkPrYI488EpWfJEmSmo3BgtSHKOGa95mQJElqNgYLUh9il+kVVlihdE2SJKm5GCxIfeiNN96Ijd8kSZKakcGC1EfeeeedNNlkk5WuSZIkNR+DBfWqyt1fK69/8skn37it8v7PP/88Ltn//ve/9PHHH5eujb7OJat8frlq9+Xbaz23UrXncJ33U/Ra1157bVp55ZVL1yRJkprPWP/fiel6j0jqgZNOOim98sorcTn77LPTXnvtlSaeeOL03nvvpf333z8upOQ88MAD6Zhjjknnn39+eu2119ITTzyRzjnnnHTBBRekd999N1J3NtpoozTBBBPE60w77bRp6aWXjvx/7h9//PHTNttskw477LB4/bfffjuts846adFFFy29k9FBxfrrrx+7JrMZ2oorrpg++OCDdOGFF6bnnnsuHXzwwWnJJZdMt99+e9pvv/3SHnvskcYdd9zSs1M6+uij07rrrpsGDhyY7rvvvvi/d9555zTXXHOlp59+Oh155JFp1113TVtuuWWaffbZ01RTTZU23XTT0rNHO+WUU9JWW21VuiZVN9ZYY0XAmf/NuI5qzXjl47Nqt6PyNcsfW+t5kqT25MyCes0zzzyTtt9++zTRRBPFdWYRBg8enCaccMJ02WWXxULfrbfeOi2++OLp5ZdfTi+++GJcn2KKKSJA4LLDDjvEa9A55zH/+c9/0lJLLZXmmGOOeH06/wsvvHAECXRqdtlll+jo33DDDfF/ZgQgSyyxRJplllni/8dFF12UNtxwwzTOOOOkq666Kv30pz+N/2OSSSb5RqCAV199NQIFvP7662mttdaKIGe99daLAOOLL76IjhWPI1Dg/yrHe51tttlK1yRJkpqTwYJ6DcEBG5AxUk8nf+yxx0633XZbBAmjRo2KTj5eeOGF6MQzI3D33XfH4x9++OGOmYG77rorLbbYYmnZZZeN2YkDDzwwUpOYldh4443jdgKF8cYbLx5P572ys87r8n88/vjjcR+zG8xIMFvBTspPPvlkmmeeedKJJ56YNt9889KzijGTQLDCaxLM3HnnnfEaL730UrwfLgQGBA/5wuOZDZEkSWpmBgvqFV9++WWaf/7502qrrZYmn3zy6IyTSjRs2LDoXK+55pqR+nPcccdF8EDnn846j5900kkjJYjZhJNPPjlei2CBn0eOHBkbmhEcMBNx1llnpaeeeipG9FlAzHXSi5ZZZpnSOxmNkf9f/OIX8X8xy3DFFVdEWhEIaujIs/iY/5uZhXK8Lpczzjgjfg9mPAgAeM0BAwbE+2NH5meffTZmJngPH374YbzH8gvBkiRJUjNzzYL0/wgw5pxzztI1qbkQjNJU538zrqNaM175+Kza7ah8zfLH1nqeJKk9GSxIUouo7KxXduwrVevc1+r0V75mrcdKktqfeRCS1ORyB76vNcv7kCT1HoMFSZIkSYUMFiRJkiQVMliQJEmSVMhgQZKaXLMsMHahsyT1PwYLktTkXOAsSeorBguSJEmSChksSJIkSSpksCBJkiSpkMGCJDU5FzhLkvqKwYIkNTkXOEuS+orBgiRJkqRCBguSJEmSChksSJIkSSpksCBJkiSpkMGCJEmSpEIGC5IkSZIKGSxIkiRJKmSwIEmSJKmQwYIkSZKkQgYLkiRJkgoZLEiSJEkqZLAgSZIkqZDBgiRJkqRCBguSJEmSChksSFKT++qrr0o/9a1meR+SpN5jsCBJTW6sscYq/dS3muV9SJJ6j8GCJEmSpEIGC5IkSZIKGSxIkiRJKmSwIEmSJKmQwYIkSZKkQgYLkiRJkgoZLEiSJEkqZLAgSZIkqZDBgiRJkqRCBguSJEmSChksSJIkSSpksCBJkiSpkMGCJEmSpEIGC5IkSZIKjfXV/yv9LEmSJEkdnFmQJEmSVMhgQZIkSVIhgwVJkiRJhQwWJEmSJBUyWJAkSZJUyGBBkiRJUiGDBUmSJEmFDBYkSZIkFTJYkCRJklTIYEGSJElSIYMFSZIkSQVS+j/+IxMU0dZdvQAAAABJRU5ErkJggg==">
          <a:extLst>
            <a:ext uri="{FF2B5EF4-FFF2-40B4-BE49-F238E27FC236}">
              <a16:creationId xmlns:a16="http://schemas.microsoft.com/office/drawing/2014/main" id="{00000000-0008-0000-0B00-000003140000}"/>
            </a:ext>
          </a:extLst>
        </xdr:cNvPr>
        <xdr:cNvSpPr>
          <a:spLocks noChangeAspect="1" noChangeArrowheads="1"/>
        </xdr:cNvSpPr>
      </xdr:nvSpPr>
      <xdr:spPr bwMode="auto">
        <a:xfrm>
          <a:off x="6172200" y="377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304034</xdr:colOff>
      <xdr:row>25</xdr:row>
      <xdr:rowOff>163710</xdr:rowOff>
    </xdr:from>
    <xdr:to>
      <xdr:col>6</xdr:col>
      <xdr:colOff>287026</xdr:colOff>
      <xdr:row>26</xdr:row>
      <xdr:rowOff>184971</xdr:rowOff>
    </xdr:to>
    <xdr:sp macro="" textlink="">
      <xdr:nvSpPr>
        <xdr:cNvPr id="16" name="Up Arrow 15">
          <a:extLst>
            <a:ext uri="{FF2B5EF4-FFF2-40B4-BE49-F238E27FC236}">
              <a16:creationId xmlns:a16="http://schemas.microsoft.com/office/drawing/2014/main" id="{00000000-0008-0000-0B00-000010000000}"/>
            </a:ext>
          </a:extLst>
        </xdr:cNvPr>
        <xdr:cNvSpPr/>
      </xdr:nvSpPr>
      <xdr:spPr>
        <a:xfrm rot="16200000">
          <a:off x="5663973" y="4898570"/>
          <a:ext cx="267891" cy="476251"/>
        </a:xfrm>
        <a:prstGeom prst="upArrow">
          <a:avLst/>
        </a:prstGeom>
        <a:solidFill>
          <a:srgbClr val="FF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rgbClr val="FF0000"/>
            </a:solidFill>
          </a:endParaRPr>
        </a:p>
      </xdr:txBody>
    </xdr:sp>
    <xdr:clientData fLocksWithSheet="0"/>
  </xdr:twoCellAnchor>
  <xdr:twoCellAnchor>
    <xdr:from>
      <xdr:col>3</xdr:col>
      <xdr:colOff>714375</xdr:colOff>
      <xdr:row>28</xdr:row>
      <xdr:rowOff>25513</xdr:rowOff>
    </xdr:from>
    <xdr:to>
      <xdr:col>7</xdr:col>
      <xdr:colOff>297657</xdr:colOff>
      <xdr:row>30</xdr:row>
      <xdr:rowOff>42522</xdr:rowOff>
    </xdr:to>
    <xdr:sp macro="" textlink="">
      <xdr:nvSpPr>
        <xdr:cNvPr id="18" name="Rounded Rectangle 17">
          <a:extLst>
            <a:ext uri="{FF2B5EF4-FFF2-40B4-BE49-F238E27FC236}">
              <a16:creationId xmlns:a16="http://schemas.microsoft.com/office/drawing/2014/main" id="{00000000-0008-0000-0B00-000012000000}"/>
            </a:ext>
          </a:extLst>
        </xdr:cNvPr>
        <xdr:cNvSpPr/>
      </xdr:nvSpPr>
      <xdr:spPr>
        <a:xfrm>
          <a:off x="4422321" y="5561919"/>
          <a:ext cx="2304711" cy="46774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9525</xdr:colOff>
      <xdr:row>36</xdr:row>
      <xdr:rowOff>200025</xdr:rowOff>
    </xdr:from>
    <xdr:to>
      <xdr:col>8</xdr:col>
      <xdr:colOff>22151</xdr:colOff>
      <xdr:row>40</xdr:row>
      <xdr:rowOff>28574</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3543300" y="6972300"/>
          <a:ext cx="3079676" cy="638174"/>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editAs="oneCell">
    <xdr:from>
      <xdr:col>2</xdr:col>
      <xdr:colOff>315915</xdr:colOff>
      <xdr:row>21</xdr:row>
      <xdr:rowOff>95483</xdr:rowOff>
    </xdr:from>
    <xdr:to>
      <xdr:col>2</xdr:col>
      <xdr:colOff>2600445</xdr:colOff>
      <xdr:row>36</xdr:row>
      <xdr:rowOff>181105</xdr:rowOff>
    </xdr:to>
    <xdr:pic>
      <xdr:nvPicPr>
        <xdr:cNvPr id="3" name="Picture 2" descr="Wisconsin Department of Transportation Diverging diamond interchange (DDI)">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477156" y="4410992"/>
          <a:ext cx="3352697" cy="228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1170814</xdr:colOff>
      <xdr:row>36</xdr:row>
      <xdr:rowOff>192546</xdr:rowOff>
    </xdr:from>
    <xdr:to>
      <xdr:col>2</xdr:col>
      <xdr:colOff>1656589</xdr:colOff>
      <xdr:row>39</xdr:row>
      <xdr:rowOff>88082</xdr:rowOff>
    </xdr:to>
    <xdr:sp macro="" textlink="">
      <xdr:nvSpPr>
        <xdr:cNvPr id="4" name="Oval 3">
          <a:extLst>
            <a:ext uri="{FF2B5EF4-FFF2-40B4-BE49-F238E27FC236}">
              <a16:creationId xmlns:a16="http://schemas.microsoft.com/office/drawing/2014/main" id="{00000000-0008-0000-0C00-000004000000}"/>
            </a:ext>
          </a:extLst>
        </xdr:cNvPr>
        <xdr:cNvSpPr/>
      </xdr:nvSpPr>
      <xdr:spPr>
        <a:xfrm>
          <a:off x="1866139" y="7241046"/>
          <a:ext cx="485775" cy="50513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1</xdr:col>
      <xdr:colOff>552846</xdr:colOff>
      <xdr:row>27</xdr:row>
      <xdr:rowOff>214162</xdr:rowOff>
    </xdr:from>
    <xdr:to>
      <xdr:col>2</xdr:col>
      <xdr:colOff>361950</xdr:colOff>
      <xdr:row>29</xdr:row>
      <xdr:rowOff>195854</xdr:rowOff>
    </xdr:to>
    <xdr:sp macro="" textlink="">
      <xdr:nvSpPr>
        <xdr:cNvPr id="5" name="Oval 4">
          <a:extLst>
            <a:ext uri="{FF2B5EF4-FFF2-40B4-BE49-F238E27FC236}">
              <a16:creationId xmlns:a16="http://schemas.microsoft.com/office/drawing/2014/main" id="{00000000-0008-0000-0C00-000005000000}"/>
            </a:ext>
          </a:extLst>
        </xdr:cNvPr>
        <xdr:cNvSpPr/>
      </xdr:nvSpPr>
      <xdr:spPr>
        <a:xfrm>
          <a:off x="619521" y="5281462"/>
          <a:ext cx="437754" cy="476992"/>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1289374</xdr:colOff>
      <xdr:row>19</xdr:row>
      <xdr:rowOff>9933</xdr:rowOff>
    </xdr:from>
    <xdr:to>
      <xdr:col>2</xdr:col>
      <xdr:colOff>1732765</xdr:colOff>
      <xdr:row>21</xdr:row>
      <xdr:rowOff>47965</xdr:rowOff>
    </xdr:to>
    <xdr:sp macro="" textlink="">
      <xdr:nvSpPr>
        <xdr:cNvPr id="6" name="Oval 5">
          <a:extLst>
            <a:ext uri="{FF2B5EF4-FFF2-40B4-BE49-F238E27FC236}">
              <a16:creationId xmlns:a16="http://schemas.microsoft.com/office/drawing/2014/main" id="{00000000-0008-0000-0C00-000006000000}"/>
            </a:ext>
          </a:extLst>
        </xdr:cNvPr>
        <xdr:cNvSpPr/>
      </xdr:nvSpPr>
      <xdr:spPr>
        <a:xfrm>
          <a:off x="1984699" y="3381783"/>
          <a:ext cx="443391" cy="447607"/>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2</xdr:col>
      <xdr:colOff>2486025</xdr:colOff>
      <xdr:row>28</xdr:row>
      <xdr:rowOff>71193</xdr:rowOff>
    </xdr:from>
    <xdr:to>
      <xdr:col>2</xdr:col>
      <xdr:colOff>2955850</xdr:colOff>
      <xdr:row>30</xdr:row>
      <xdr:rowOff>21052</xdr:rowOff>
    </xdr:to>
    <xdr:sp macro="" textlink="">
      <xdr:nvSpPr>
        <xdr:cNvPr id="7" name="Oval 6">
          <a:extLst>
            <a:ext uri="{FF2B5EF4-FFF2-40B4-BE49-F238E27FC236}">
              <a16:creationId xmlns:a16="http://schemas.microsoft.com/office/drawing/2014/main" id="{00000000-0008-0000-0C00-000007000000}"/>
            </a:ext>
          </a:extLst>
        </xdr:cNvPr>
        <xdr:cNvSpPr/>
      </xdr:nvSpPr>
      <xdr:spPr>
        <a:xfrm>
          <a:off x="3181350" y="5586168"/>
          <a:ext cx="469825" cy="445159"/>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8</xdr:col>
      <xdr:colOff>180974</xdr:colOff>
      <xdr:row>50</xdr:row>
      <xdr:rowOff>27385</xdr:rowOff>
    </xdr:from>
    <xdr:to>
      <xdr:col>8</xdr:col>
      <xdr:colOff>520897</xdr:colOff>
      <xdr:row>53</xdr:row>
      <xdr:rowOff>178595</xdr:rowOff>
    </xdr:to>
    <xdr:sp macro="" textlink="">
      <xdr:nvSpPr>
        <xdr:cNvPr id="9" name="Left Brace 8">
          <a:extLst>
            <a:ext uri="{FF2B5EF4-FFF2-40B4-BE49-F238E27FC236}">
              <a16:creationId xmlns:a16="http://schemas.microsoft.com/office/drawing/2014/main" id="{00000000-0008-0000-0C00-000009000000}"/>
            </a:ext>
          </a:extLst>
        </xdr:cNvPr>
        <xdr:cNvSpPr/>
      </xdr:nvSpPr>
      <xdr:spPr>
        <a:xfrm>
          <a:off x="6781799" y="9838135"/>
          <a:ext cx="73223" cy="77033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200025</xdr:colOff>
      <xdr:row>54</xdr:row>
      <xdr:rowOff>38101</xdr:rowOff>
    </xdr:from>
    <xdr:to>
      <xdr:col>9</xdr:col>
      <xdr:colOff>0</xdr:colOff>
      <xdr:row>57</xdr:row>
      <xdr:rowOff>190501</xdr:rowOff>
    </xdr:to>
    <xdr:sp macro="" textlink="">
      <xdr:nvSpPr>
        <xdr:cNvPr id="10" name="Left Brace 9">
          <a:extLst>
            <a:ext uri="{FF2B5EF4-FFF2-40B4-BE49-F238E27FC236}">
              <a16:creationId xmlns:a16="http://schemas.microsoft.com/office/drawing/2014/main" id="{00000000-0008-0000-0C00-00000A000000}"/>
            </a:ext>
          </a:extLst>
        </xdr:cNvPr>
        <xdr:cNvSpPr/>
      </xdr:nvSpPr>
      <xdr:spPr>
        <a:xfrm>
          <a:off x="6800850" y="10677526"/>
          <a:ext cx="57150" cy="77152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152399</xdr:colOff>
      <xdr:row>37</xdr:row>
      <xdr:rowOff>47625</xdr:rowOff>
    </xdr:from>
    <xdr:to>
      <xdr:col>9</xdr:col>
      <xdr:colOff>-1</xdr:colOff>
      <xdr:row>40</xdr:row>
      <xdr:rowOff>200025</xdr:rowOff>
    </xdr:to>
    <xdr:sp macro="" textlink="">
      <xdr:nvSpPr>
        <xdr:cNvPr id="11" name="Left Brace 10">
          <a:extLst>
            <a:ext uri="{FF2B5EF4-FFF2-40B4-BE49-F238E27FC236}">
              <a16:creationId xmlns:a16="http://schemas.microsoft.com/office/drawing/2014/main" id="{00000000-0008-0000-0C00-00000B000000}"/>
            </a:ext>
          </a:extLst>
        </xdr:cNvPr>
        <xdr:cNvSpPr/>
      </xdr:nvSpPr>
      <xdr:spPr>
        <a:xfrm>
          <a:off x="6753224" y="7029450"/>
          <a:ext cx="104775" cy="75247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828299</xdr:colOff>
      <xdr:row>28</xdr:row>
      <xdr:rowOff>77982</xdr:rowOff>
    </xdr:from>
    <xdr:to>
      <xdr:col>2</xdr:col>
      <xdr:colOff>1048792</xdr:colOff>
      <xdr:row>29</xdr:row>
      <xdr:rowOff>65707</xdr:rowOff>
    </xdr:to>
    <xdr:pic>
      <xdr:nvPicPr>
        <xdr:cNvPr id="12" name="Picture 11" descr="Glossy Traffic Signal Light by ab-cs-center on DeviantArt">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523624" y="5392932"/>
          <a:ext cx="220493" cy="235375"/>
        </a:xfrm>
        <a:prstGeom prst="rect">
          <a:avLst/>
        </a:prstGeom>
      </xdr:spPr>
    </xdr:pic>
    <xdr:clientData/>
  </xdr:twoCellAnchor>
  <xdr:twoCellAnchor editAs="oneCell">
    <xdr:from>
      <xdr:col>2</xdr:col>
      <xdr:colOff>1759104</xdr:colOff>
      <xdr:row>28</xdr:row>
      <xdr:rowOff>62726</xdr:rowOff>
    </xdr:from>
    <xdr:to>
      <xdr:col>2</xdr:col>
      <xdr:colOff>2029028</xdr:colOff>
      <xdr:row>29</xdr:row>
      <xdr:rowOff>109657</xdr:rowOff>
    </xdr:to>
    <xdr:pic>
      <xdr:nvPicPr>
        <xdr:cNvPr id="13" name="Picture 12" descr="Glossy Traffic Signal Light by ab-cs-center on DeviantArt">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2454429" y="5377676"/>
          <a:ext cx="269924" cy="294581"/>
        </a:xfrm>
        <a:prstGeom prst="rect">
          <a:avLst/>
        </a:prstGeom>
      </xdr:spPr>
    </xdr:pic>
    <xdr:clientData/>
  </xdr:twoCellAnchor>
  <xdr:twoCellAnchor>
    <xdr:from>
      <xdr:col>8</xdr:col>
      <xdr:colOff>180975</xdr:colOff>
      <xdr:row>42</xdr:row>
      <xdr:rowOff>19050</xdr:rowOff>
    </xdr:from>
    <xdr:to>
      <xdr:col>8</xdr:col>
      <xdr:colOff>535781</xdr:colOff>
      <xdr:row>45</xdr:row>
      <xdr:rowOff>190500</xdr:rowOff>
    </xdr:to>
    <xdr:sp macro="" textlink="">
      <xdr:nvSpPr>
        <xdr:cNvPr id="14" name="Left Brace 13">
          <a:extLst>
            <a:ext uri="{FF2B5EF4-FFF2-40B4-BE49-F238E27FC236}">
              <a16:creationId xmlns:a16="http://schemas.microsoft.com/office/drawing/2014/main" id="{00000000-0008-0000-0C00-00000E000000}"/>
            </a:ext>
          </a:extLst>
        </xdr:cNvPr>
        <xdr:cNvSpPr/>
      </xdr:nvSpPr>
      <xdr:spPr>
        <a:xfrm>
          <a:off x="6781800" y="8020050"/>
          <a:ext cx="78581" cy="923925"/>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16</xdr:col>
      <xdr:colOff>487327</xdr:colOff>
      <xdr:row>53</xdr:row>
      <xdr:rowOff>66453</xdr:rowOff>
    </xdr:from>
    <xdr:to>
      <xdr:col>19</xdr:col>
      <xdr:colOff>66453</xdr:colOff>
      <xdr:row>57</xdr:row>
      <xdr:rowOff>1</xdr:rowOff>
    </xdr:to>
    <xdr:cxnSp macro="">
      <xdr:nvCxnSpPr>
        <xdr:cNvPr id="15" name="Elbow Connector 14">
          <a:extLst>
            <a:ext uri="{FF2B5EF4-FFF2-40B4-BE49-F238E27FC236}">
              <a16:creationId xmlns:a16="http://schemas.microsoft.com/office/drawing/2014/main" id="{00000000-0008-0000-0C00-00000F000000}"/>
            </a:ext>
          </a:extLst>
        </xdr:cNvPr>
        <xdr:cNvCxnSpPr/>
      </xdr:nvCxnSpPr>
      <xdr:spPr>
        <a:xfrm flipV="1">
          <a:off x="15317752" y="10496328"/>
          <a:ext cx="1541276" cy="762223"/>
        </a:xfrm>
        <a:prstGeom prst="bentConnector3">
          <a:avLst>
            <a:gd name="adj1" fmla="val 50000"/>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287965</xdr:colOff>
      <xdr:row>51</xdr:row>
      <xdr:rowOff>199359</xdr:rowOff>
    </xdr:from>
    <xdr:to>
      <xdr:col>18</xdr:col>
      <xdr:colOff>44302</xdr:colOff>
      <xdr:row>54</xdr:row>
      <xdr:rowOff>199359</xdr:rowOff>
    </xdr:to>
    <xdr:cxnSp macro="">
      <xdr:nvCxnSpPr>
        <xdr:cNvPr id="16" name="Curved Connector 15">
          <a:extLst>
            <a:ext uri="{FF2B5EF4-FFF2-40B4-BE49-F238E27FC236}">
              <a16:creationId xmlns:a16="http://schemas.microsoft.com/office/drawing/2014/main" id="{00000000-0008-0000-0C00-000010000000}"/>
            </a:ext>
          </a:extLst>
        </xdr:cNvPr>
        <xdr:cNvCxnSpPr/>
      </xdr:nvCxnSpPr>
      <xdr:spPr>
        <a:xfrm rot="10800000" flipV="1">
          <a:off x="15118390" y="10219659"/>
          <a:ext cx="918387" cy="619125"/>
        </a:xfrm>
        <a:prstGeom prst="curvedConnector3">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609157</xdr:colOff>
      <xdr:row>52</xdr:row>
      <xdr:rowOff>33227</xdr:rowOff>
    </xdr:from>
    <xdr:to>
      <xdr:col>21</xdr:col>
      <xdr:colOff>431947</xdr:colOff>
      <xdr:row>54</xdr:row>
      <xdr:rowOff>188284</xdr:rowOff>
    </xdr:to>
    <xdr:cxnSp macro="">
      <xdr:nvCxnSpPr>
        <xdr:cNvPr id="17" name="Curved Connector 16">
          <a:extLst>
            <a:ext uri="{FF2B5EF4-FFF2-40B4-BE49-F238E27FC236}">
              <a16:creationId xmlns:a16="http://schemas.microsoft.com/office/drawing/2014/main" id="{00000000-0008-0000-0C00-000011000000}"/>
            </a:ext>
          </a:extLst>
        </xdr:cNvPr>
        <xdr:cNvCxnSpPr/>
      </xdr:nvCxnSpPr>
      <xdr:spPr>
        <a:xfrm>
          <a:off x="17401732" y="10253552"/>
          <a:ext cx="1184865" cy="574157"/>
        </a:xfrm>
        <a:prstGeom prst="curvedConnector3">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210437</xdr:colOff>
      <xdr:row>53</xdr:row>
      <xdr:rowOff>77530</xdr:rowOff>
    </xdr:from>
    <xdr:to>
      <xdr:col>21</xdr:col>
      <xdr:colOff>11077</xdr:colOff>
      <xdr:row>56</xdr:row>
      <xdr:rowOff>188286</xdr:rowOff>
    </xdr:to>
    <xdr:cxnSp macro="">
      <xdr:nvCxnSpPr>
        <xdr:cNvPr id="18" name="Elbow Connector 17">
          <a:extLst>
            <a:ext uri="{FF2B5EF4-FFF2-40B4-BE49-F238E27FC236}">
              <a16:creationId xmlns:a16="http://schemas.microsoft.com/office/drawing/2014/main" id="{00000000-0008-0000-0C00-000012000000}"/>
            </a:ext>
          </a:extLst>
        </xdr:cNvPr>
        <xdr:cNvCxnSpPr/>
      </xdr:nvCxnSpPr>
      <xdr:spPr>
        <a:xfrm rot="10800000">
          <a:off x="17003012" y="10507405"/>
          <a:ext cx="1162715" cy="739406"/>
        </a:xfrm>
        <a:prstGeom prst="bentConnector3">
          <a:avLst>
            <a:gd name="adj1" fmla="val 50000"/>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138743</xdr:colOff>
      <xdr:row>50</xdr:row>
      <xdr:rowOff>22153</xdr:rowOff>
    </xdr:from>
    <xdr:to>
      <xdr:col>19</xdr:col>
      <xdr:colOff>149818</xdr:colOff>
      <xdr:row>58</xdr:row>
      <xdr:rowOff>110757</xdr:rowOff>
    </xdr:to>
    <xdr:cxnSp macro="">
      <xdr:nvCxnSpPr>
        <xdr:cNvPr id="19" name="Straight Connector 18">
          <a:extLst>
            <a:ext uri="{FF2B5EF4-FFF2-40B4-BE49-F238E27FC236}">
              <a16:creationId xmlns:a16="http://schemas.microsoft.com/office/drawing/2014/main" id="{00000000-0008-0000-0C00-000013000000}"/>
            </a:ext>
          </a:extLst>
        </xdr:cNvPr>
        <xdr:cNvCxnSpPr/>
      </xdr:nvCxnSpPr>
      <xdr:spPr>
        <a:xfrm flipH="1">
          <a:off x="16931318" y="9832903"/>
          <a:ext cx="11075" cy="1745954"/>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132906</xdr:colOff>
      <xdr:row>48</xdr:row>
      <xdr:rowOff>0</xdr:rowOff>
    </xdr:from>
    <xdr:to>
      <xdr:col>21</xdr:col>
      <xdr:colOff>1185086</xdr:colOff>
      <xdr:row>62</xdr:row>
      <xdr:rowOff>77529</xdr:rowOff>
    </xdr:to>
    <xdr:sp macro="" textlink="">
      <xdr:nvSpPr>
        <xdr:cNvPr id="25" name="Rounded Rectangle 24">
          <a:extLst>
            <a:ext uri="{FF2B5EF4-FFF2-40B4-BE49-F238E27FC236}">
              <a16:creationId xmlns:a16="http://schemas.microsoft.com/office/drawing/2014/main" id="{00000000-0008-0000-0C00-000019000000}"/>
            </a:ext>
          </a:extLst>
        </xdr:cNvPr>
        <xdr:cNvSpPr/>
      </xdr:nvSpPr>
      <xdr:spPr>
        <a:xfrm>
          <a:off x="14963331" y="9353550"/>
          <a:ext cx="3966830" cy="3039804"/>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174113</xdr:colOff>
      <xdr:row>31</xdr:row>
      <xdr:rowOff>61452</xdr:rowOff>
    </xdr:from>
    <xdr:to>
      <xdr:col>2</xdr:col>
      <xdr:colOff>409677</xdr:colOff>
      <xdr:row>32</xdr:row>
      <xdr:rowOff>40969</xdr:rowOff>
    </xdr:to>
    <xdr:sp macro="" textlink="">
      <xdr:nvSpPr>
        <xdr:cNvPr id="26" name="Oval 25">
          <a:extLst>
            <a:ext uri="{FF2B5EF4-FFF2-40B4-BE49-F238E27FC236}">
              <a16:creationId xmlns:a16="http://schemas.microsoft.com/office/drawing/2014/main" id="{00000000-0008-0000-0C00-00001A000000}"/>
            </a:ext>
          </a:extLst>
        </xdr:cNvPr>
        <xdr:cNvSpPr/>
      </xdr:nvSpPr>
      <xdr:spPr>
        <a:xfrm>
          <a:off x="869438" y="5776452"/>
          <a:ext cx="235564" cy="227167"/>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2152650</xdr:colOff>
      <xdr:row>24</xdr:row>
      <xdr:rowOff>150095</xdr:rowOff>
    </xdr:from>
    <xdr:to>
      <xdr:col>2</xdr:col>
      <xdr:colOff>2388214</xdr:colOff>
      <xdr:row>25</xdr:row>
      <xdr:rowOff>172883</xdr:rowOff>
    </xdr:to>
    <xdr:sp macro="" textlink="">
      <xdr:nvSpPr>
        <xdr:cNvPr id="27" name="Oval 26">
          <a:extLst>
            <a:ext uri="{FF2B5EF4-FFF2-40B4-BE49-F238E27FC236}">
              <a16:creationId xmlns:a16="http://schemas.microsoft.com/office/drawing/2014/main" id="{00000000-0008-0000-0C00-00001B000000}"/>
            </a:ext>
          </a:extLst>
        </xdr:cNvPr>
        <xdr:cNvSpPr/>
      </xdr:nvSpPr>
      <xdr:spPr>
        <a:xfrm>
          <a:off x="2843213" y="4785595"/>
          <a:ext cx="235564" cy="221226"/>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266700</xdr:colOff>
      <xdr:row>22</xdr:row>
      <xdr:rowOff>228600</xdr:rowOff>
    </xdr:from>
    <xdr:to>
      <xdr:col>6</xdr:col>
      <xdr:colOff>485776</xdr:colOff>
      <xdr:row>24</xdr:row>
      <xdr:rowOff>57151</xdr:rowOff>
    </xdr:to>
    <xdr:sp macro="" textlink="">
      <xdr:nvSpPr>
        <xdr:cNvPr id="23" name="Up Arrow 22">
          <a:extLst>
            <a:ext uri="{FF2B5EF4-FFF2-40B4-BE49-F238E27FC236}">
              <a16:creationId xmlns:a16="http://schemas.microsoft.com/office/drawing/2014/main" id="{00000000-0008-0000-0C00-000017000000}"/>
            </a:ext>
          </a:extLst>
        </xdr:cNvPr>
        <xdr:cNvSpPr/>
      </xdr:nvSpPr>
      <xdr:spPr>
        <a:xfrm rot="5400000">
          <a:off x="5867400" y="4219575"/>
          <a:ext cx="295276" cy="695326"/>
        </a:xfrm>
        <a:prstGeom prst="upArrow">
          <a:avLst/>
        </a:prstGeom>
        <a:solidFill>
          <a:srgbClr val="FF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rgbClr val="FF0000"/>
            </a:solidFill>
          </a:endParaRPr>
        </a:p>
      </xdr:txBody>
    </xdr:sp>
    <xdr:clientData fLocksWithSheet="0"/>
  </xdr:twoCellAnchor>
  <xdr:twoCellAnchor>
    <xdr:from>
      <xdr:col>4</xdr:col>
      <xdr:colOff>296333</xdr:colOff>
      <xdr:row>25</xdr:row>
      <xdr:rowOff>1058</xdr:rowOff>
    </xdr:from>
    <xdr:to>
      <xdr:col>7</xdr:col>
      <xdr:colOff>613833</xdr:colOff>
      <xdr:row>27</xdr:row>
      <xdr:rowOff>30692</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5535083" y="4763558"/>
          <a:ext cx="2698750" cy="44238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23</xdr:row>
      <xdr:rowOff>76199</xdr:rowOff>
    </xdr:from>
    <xdr:to>
      <xdr:col>2</xdr:col>
      <xdr:colOff>2952681</xdr:colOff>
      <xdr:row>32</xdr:row>
      <xdr:rowOff>152401</xdr:rowOff>
    </xdr:to>
    <xdr:pic>
      <xdr:nvPicPr>
        <xdr:cNvPr id="2" name="Picture 1" descr="New continuous flow intersection in Charlotte wins national award | wcnc.co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4638674"/>
          <a:ext cx="3695631" cy="2076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504825</xdr:colOff>
      <xdr:row>30</xdr:row>
      <xdr:rowOff>9525</xdr:rowOff>
    </xdr:from>
    <xdr:to>
      <xdr:col>2</xdr:col>
      <xdr:colOff>342900</xdr:colOff>
      <xdr:row>32</xdr:row>
      <xdr:rowOff>161926</xdr:rowOff>
    </xdr:to>
    <xdr:sp macro="" textlink="">
      <xdr:nvSpPr>
        <xdr:cNvPr id="3" name="Oval 2">
          <a:extLst>
            <a:ext uri="{FF2B5EF4-FFF2-40B4-BE49-F238E27FC236}">
              <a16:creationId xmlns:a16="http://schemas.microsoft.com/office/drawing/2014/main" id="{00000000-0008-0000-0D00-000003000000}"/>
            </a:ext>
          </a:extLst>
        </xdr:cNvPr>
        <xdr:cNvSpPr/>
      </xdr:nvSpPr>
      <xdr:spPr>
        <a:xfrm>
          <a:off x="619125" y="6372225"/>
          <a:ext cx="638175" cy="5905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 2</a:t>
          </a:r>
        </a:p>
      </xdr:txBody>
    </xdr:sp>
    <xdr:clientData/>
  </xdr:twoCellAnchor>
  <xdr:twoCellAnchor>
    <xdr:from>
      <xdr:col>1</xdr:col>
      <xdr:colOff>66675</xdr:colOff>
      <xdr:row>24</xdr:row>
      <xdr:rowOff>171449</xdr:rowOff>
    </xdr:from>
    <xdr:to>
      <xdr:col>1</xdr:col>
      <xdr:colOff>600075</xdr:colOff>
      <xdr:row>26</xdr:row>
      <xdr:rowOff>238125</xdr:rowOff>
    </xdr:to>
    <xdr:sp macro="" textlink="">
      <xdr:nvSpPr>
        <xdr:cNvPr id="4" name="Oval 3">
          <a:extLst>
            <a:ext uri="{FF2B5EF4-FFF2-40B4-BE49-F238E27FC236}">
              <a16:creationId xmlns:a16="http://schemas.microsoft.com/office/drawing/2014/main" id="{00000000-0008-0000-0D00-000004000000}"/>
            </a:ext>
          </a:extLst>
        </xdr:cNvPr>
        <xdr:cNvSpPr/>
      </xdr:nvSpPr>
      <xdr:spPr>
        <a:xfrm>
          <a:off x="180975" y="5162549"/>
          <a:ext cx="533400" cy="51435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2019300</xdr:colOff>
      <xdr:row>22</xdr:row>
      <xdr:rowOff>114300</xdr:rowOff>
    </xdr:from>
    <xdr:to>
      <xdr:col>2</xdr:col>
      <xdr:colOff>2571750</xdr:colOff>
      <xdr:row>24</xdr:row>
      <xdr:rowOff>180976</xdr:rowOff>
    </xdr:to>
    <xdr:sp macro="" textlink="">
      <xdr:nvSpPr>
        <xdr:cNvPr id="5" name="Oval 4">
          <a:extLst>
            <a:ext uri="{FF2B5EF4-FFF2-40B4-BE49-F238E27FC236}">
              <a16:creationId xmlns:a16="http://schemas.microsoft.com/office/drawing/2014/main" id="{00000000-0008-0000-0D00-000005000000}"/>
            </a:ext>
          </a:extLst>
        </xdr:cNvPr>
        <xdr:cNvSpPr/>
      </xdr:nvSpPr>
      <xdr:spPr>
        <a:xfrm>
          <a:off x="2933700" y="4714875"/>
          <a:ext cx="552450" cy="45720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2</xdr:col>
      <xdr:colOff>2714625</xdr:colOff>
      <xdr:row>28</xdr:row>
      <xdr:rowOff>76200</xdr:rowOff>
    </xdr:from>
    <xdr:to>
      <xdr:col>3</xdr:col>
      <xdr:colOff>266700</xdr:colOff>
      <xdr:row>30</xdr:row>
      <xdr:rowOff>133350</xdr:rowOff>
    </xdr:to>
    <xdr:sp macro="" textlink="">
      <xdr:nvSpPr>
        <xdr:cNvPr id="6" name="Oval 5">
          <a:extLst>
            <a:ext uri="{FF2B5EF4-FFF2-40B4-BE49-F238E27FC236}">
              <a16:creationId xmlns:a16="http://schemas.microsoft.com/office/drawing/2014/main" id="{00000000-0008-0000-0D00-000006000000}"/>
            </a:ext>
          </a:extLst>
        </xdr:cNvPr>
        <xdr:cNvSpPr/>
      </xdr:nvSpPr>
      <xdr:spPr>
        <a:xfrm>
          <a:off x="3629025" y="5962650"/>
          <a:ext cx="552450" cy="5334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 8</a:t>
          </a:r>
        </a:p>
      </xdr:txBody>
    </xdr:sp>
    <xdr:clientData/>
  </xdr:twoCellAnchor>
  <xdr:twoCellAnchor>
    <xdr:from>
      <xdr:col>6</xdr:col>
      <xdr:colOff>790575</xdr:colOff>
      <xdr:row>26</xdr:row>
      <xdr:rowOff>47625</xdr:rowOff>
    </xdr:from>
    <xdr:to>
      <xdr:col>6</xdr:col>
      <xdr:colOff>800100</xdr:colOff>
      <xdr:row>28</xdr:row>
      <xdr:rowOff>190500</xdr:rowOff>
    </xdr:to>
    <xdr:cxnSp macro="">
      <xdr:nvCxnSpPr>
        <xdr:cNvPr id="7" name="Straight Arrow Connector 6">
          <a:extLst>
            <a:ext uri="{FF2B5EF4-FFF2-40B4-BE49-F238E27FC236}">
              <a16:creationId xmlns:a16="http://schemas.microsoft.com/office/drawing/2014/main" id="{00000000-0008-0000-0D00-000007000000}"/>
            </a:ext>
          </a:extLst>
        </xdr:cNvPr>
        <xdr:cNvCxnSpPr/>
      </xdr:nvCxnSpPr>
      <xdr:spPr>
        <a:xfrm flipV="1">
          <a:off x="6562725" y="5486400"/>
          <a:ext cx="9525" cy="590550"/>
        </a:xfrm>
        <a:prstGeom prst="straightConnector1">
          <a:avLst/>
        </a:prstGeom>
        <a:ln w="7620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xdr:from>
      <xdr:col>2</xdr:col>
      <xdr:colOff>1609725</xdr:colOff>
      <xdr:row>25</xdr:row>
      <xdr:rowOff>114301</xdr:rowOff>
    </xdr:from>
    <xdr:to>
      <xdr:col>2</xdr:col>
      <xdr:colOff>2105025</xdr:colOff>
      <xdr:row>27</xdr:row>
      <xdr:rowOff>95250</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2524125" y="5067301"/>
          <a:ext cx="495300" cy="476249"/>
        </a:xfrm>
        <a:prstGeom prst="straightConnector1">
          <a:avLst/>
        </a:prstGeom>
        <a:ln w="28575">
          <a:headEnd type="triangle"/>
          <a:tailEnd type="triangle"/>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352425</xdr:colOff>
      <xdr:row>27</xdr:row>
      <xdr:rowOff>180975</xdr:rowOff>
    </xdr:from>
    <xdr:to>
      <xdr:col>2</xdr:col>
      <xdr:colOff>1028700</xdr:colOff>
      <xdr:row>30</xdr:row>
      <xdr:rowOff>152400</xdr:rowOff>
    </xdr:to>
    <xdr:cxnSp macro="">
      <xdr:nvCxnSpPr>
        <xdr:cNvPr id="9" name="Straight Arrow Connector 8">
          <a:extLst>
            <a:ext uri="{FF2B5EF4-FFF2-40B4-BE49-F238E27FC236}">
              <a16:creationId xmlns:a16="http://schemas.microsoft.com/office/drawing/2014/main" id="{00000000-0008-0000-0D00-000009000000}"/>
            </a:ext>
          </a:extLst>
        </xdr:cNvPr>
        <xdr:cNvCxnSpPr/>
      </xdr:nvCxnSpPr>
      <xdr:spPr>
        <a:xfrm flipV="1">
          <a:off x="1266825" y="5867400"/>
          <a:ext cx="676275" cy="647700"/>
        </a:xfrm>
        <a:prstGeom prst="straightConnector1">
          <a:avLst/>
        </a:prstGeom>
        <a:ln w="28575">
          <a:headEnd type="triangle"/>
          <a:tailEnd type="triangle"/>
        </a:ln>
      </xdr:spPr>
      <xdr:style>
        <a:lnRef idx="1">
          <a:schemeClr val="accent4"/>
        </a:lnRef>
        <a:fillRef idx="0">
          <a:schemeClr val="accent4"/>
        </a:fillRef>
        <a:effectRef idx="0">
          <a:schemeClr val="accent4"/>
        </a:effectRef>
        <a:fontRef idx="minor">
          <a:schemeClr val="tx1"/>
        </a:fontRef>
      </xdr:style>
    </xdr:cxnSp>
    <xdr:clientData/>
  </xdr:twoCellAnchor>
  <xdr:oneCellAnchor>
    <xdr:from>
      <xdr:col>2</xdr:col>
      <xdr:colOff>1816585</xdr:colOff>
      <xdr:row>31</xdr:row>
      <xdr:rowOff>41450</xdr:rowOff>
    </xdr:from>
    <xdr:ext cx="405432" cy="285750"/>
    <xdr:sp macro="" textlink="">
      <xdr:nvSpPr>
        <xdr:cNvPr id="10" name="TextBox 9">
          <a:extLst>
            <a:ext uri="{FF2B5EF4-FFF2-40B4-BE49-F238E27FC236}">
              <a16:creationId xmlns:a16="http://schemas.microsoft.com/office/drawing/2014/main" id="{00000000-0008-0000-0D00-00000A000000}"/>
            </a:ext>
          </a:extLst>
        </xdr:cNvPr>
        <xdr:cNvSpPr txBox="1"/>
      </xdr:nvSpPr>
      <xdr:spPr>
        <a:xfrm rot="6553279">
          <a:off x="2790826" y="6344309"/>
          <a:ext cx="28575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1">
              <a:solidFill>
                <a:srgbClr val="FF0000"/>
              </a:solidFill>
            </a:rPr>
            <a:t>N</a:t>
          </a:r>
          <a:endParaRPr lang="en-US" sz="1600" b="1">
            <a:solidFill>
              <a:srgbClr val="FF0000"/>
            </a:solidFill>
          </a:endParaRPr>
        </a:p>
      </xdr:txBody>
    </xdr:sp>
    <xdr:clientData/>
  </xdr:oneCellAnchor>
  <xdr:twoCellAnchor>
    <xdr:from>
      <xdr:col>7</xdr:col>
      <xdr:colOff>104776</xdr:colOff>
      <xdr:row>37</xdr:row>
      <xdr:rowOff>19050</xdr:rowOff>
    </xdr:from>
    <xdr:to>
      <xdr:col>8</xdr:col>
      <xdr:colOff>28576</xdr:colOff>
      <xdr:row>43</xdr:row>
      <xdr:rowOff>161925</xdr:rowOff>
    </xdr:to>
    <xdr:sp macro="" textlink="">
      <xdr:nvSpPr>
        <xdr:cNvPr id="11" name="Left Brace 10">
          <a:extLst>
            <a:ext uri="{FF2B5EF4-FFF2-40B4-BE49-F238E27FC236}">
              <a16:creationId xmlns:a16="http://schemas.microsoft.com/office/drawing/2014/main" id="{00000000-0008-0000-0D00-00000B000000}"/>
            </a:ext>
          </a:extLst>
        </xdr:cNvPr>
        <xdr:cNvSpPr/>
      </xdr:nvSpPr>
      <xdr:spPr>
        <a:xfrm>
          <a:off x="7239001" y="7591425"/>
          <a:ext cx="419100" cy="1381125"/>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152401</xdr:colOff>
      <xdr:row>45</xdr:row>
      <xdr:rowOff>19050</xdr:rowOff>
    </xdr:from>
    <xdr:to>
      <xdr:col>8</xdr:col>
      <xdr:colOff>79375</xdr:colOff>
      <xdr:row>56</xdr:row>
      <xdr:rowOff>11339</xdr:rowOff>
    </xdr:to>
    <xdr:sp macro="" textlink="">
      <xdr:nvSpPr>
        <xdr:cNvPr id="12" name="Left Brace 11">
          <a:extLst>
            <a:ext uri="{FF2B5EF4-FFF2-40B4-BE49-F238E27FC236}">
              <a16:creationId xmlns:a16="http://schemas.microsoft.com/office/drawing/2014/main" id="{00000000-0008-0000-0D00-00000C000000}"/>
            </a:ext>
          </a:extLst>
        </xdr:cNvPr>
        <xdr:cNvSpPr/>
      </xdr:nvSpPr>
      <xdr:spPr>
        <a:xfrm>
          <a:off x="7286626" y="9239250"/>
          <a:ext cx="422274" cy="2249714"/>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1057275</xdr:colOff>
      <xdr:row>26</xdr:row>
      <xdr:rowOff>228600</xdr:rowOff>
    </xdr:from>
    <xdr:to>
      <xdr:col>2</xdr:col>
      <xdr:colOff>1428750</xdr:colOff>
      <xdr:row>28</xdr:row>
      <xdr:rowOff>104775</xdr:rowOff>
    </xdr:to>
    <xdr:sp macro="" textlink="">
      <xdr:nvSpPr>
        <xdr:cNvPr id="13" name="Oval 12">
          <a:extLst>
            <a:ext uri="{FF2B5EF4-FFF2-40B4-BE49-F238E27FC236}">
              <a16:creationId xmlns:a16="http://schemas.microsoft.com/office/drawing/2014/main" id="{00000000-0008-0000-0D00-00000D000000}"/>
            </a:ext>
          </a:extLst>
        </xdr:cNvPr>
        <xdr:cNvSpPr/>
      </xdr:nvSpPr>
      <xdr:spPr>
        <a:xfrm>
          <a:off x="1971675" y="5429250"/>
          <a:ext cx="371475" cy="323850"/>
        </a:xfrm>
        <a:prstGeom prst="ellipse">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1123950</xdr:colOff>
      <xdr:row>26</xdr:row>
      <xdr:rowOff>228600</xdr:rowOff>
    </xdr:from>
    <xdr:ext cx="288669" cy="342786"/>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038350" y="5429250"/>
          <a:ext cx="28866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0</a:t>
          </a:r>
        </a:p>
      </xdr:txBody>
    </xdr:sp>
    <xdr:clientData/>
  </xdr:oneCellAnchor>
  <xdr:twoCellAnchor>
    <xdr:from>
      <xdr:col>4</xdr:col>
      <xdr:colOff>647699</xdr:colOff>
      <xdr:row>29</xdr:row>
      <xdr:rowOff>19050</xdr:rowOff>
    </xdr:from>
    <xdr:to>
      <xdr:col>7</xdr:col>
      <xdr:colOff>152399</xdr:colOff>
      <xdr:row>31</xdr:row>
      <xdr:rowOff>38100</xdr:rowOff>
    </xdr:to>
    <xdr:sp macro="" textlink="">
      <xdr:nvSpPr>
        <xdr:cNvPr id="15" name="Rounded Rectangle 14">
          <a:extLst>
            <a:ext uri="{FF2B5EF4-FFF2-40B4-BE49-F238E27FC236}">
              <a16:creationId xmlns:a16="http://schemas.microsoft.com/office/drawing/2014/main" id="{00000000-0008-0000-0D00-00000F000000}"/>
            </a:ext>
          </a:extLst>
        </xdr:cNvPr>
        <xdr:cNvSpPr/>
      </xdr:nvSpPr>
      <xdr:spPr>
        <a:xfrm>
          <a:off x="5362574" y="6105525"/>
          <a:ext cx="2371725" cy="5334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152400</xdr:colOff>
      <xdr:row>71</xdr:row>
      <xdr:rowOff>57150</xdr:rowOff>
    </xdr:from>
    <xdr:to>
      <xdr:col>8</xdr:col>
      <xdr:colOff>19050</xdr:colOff>
      <xdr:row>78</xdr:row>
      <xdr:rowOff>0</xdr:rowOff>
    </xdr:to>
    <xdr:sp macro="" textlink="">
      <xdr:nvSpPr>
        <xdr:cNvPr id="16" name="Left Brace 15">
          <a:extLst>
            <a:ext uri="{FF2B5EF4-FFF2-40B4-BE49-F238E27FC236}">
              <a16:creationId xmlns:a16="http://schemas.microsoft.com/office/drawing/2014/main" id="{00000000-0008-0000-0D00-000010000000}"/>
            </a:ext>
          </a:extLst>
        </xdr:cNvPr>
        <xdr:cNvSpPr/>
      </xdr:nvSpPr>
      <xdr:spPr>
        <a:xfrm>
          <a:off x="7724775" y="15001875"/>
          <a:ext cx="361950" cy="139065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2343149</xdr:colOff>
      <xdr:row>27</xdr:row>
      <xdr:rowOff>57149</xdr:rowOff>
    </xdr:from>
    <xdr:to>
      <xdr:col>3</xdr:col>
      <xdr:colOff>2895599</xdr:colOff>
      <xdr:row>29</xdr:row>
      <xdr:rowOff>142875</xdr:rowOff>
    </xdr:to>
    <xdr:sp macro="" textlink="">
      <xdr:nvSpPr>
        <xdr:cNvPr id="2" name="Oval 1">
          <a:extLst>
            <a:ext uri="{FF2B5EF4-FFF2-40B4-BE49-F238E27FC236}">
              <a16:creationId xmlns:a16="http://schemas.microsoft.com/office/drawing/2014/main" id="{00000000-0008-0000-0E00-000002000000}"/>
            </a:ext>
          </a:extLst>
        </xdr:cNvPr>
        <xdr:cNvSpPr/>
      </xdr:nvSpPr>
      <xdr:spPr>
        <a:xfrm>
          <a:off x="3352799" y="5476874"/>
          <a:ext cx="552450" cy="4857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2</a:t>
          </a:r>
        </a:p>
      </xdr:txBody>
    </xdr:sp>
    <xdr:clientData/>
  </xdr:twoCellAnchor>
  <xdr:twoCellAnchor>
    <xdr:from>
      <xdr:col>3</xdr:col>
      <xdr:colOff>371474</xdr:colOff>
      <xdr:row>31</xdr:row>
      <xdr:rowOff>38099</xdr:rowOff>
    </xdr:from>
    <xdr:to>
      <xdr:col>3</xdr:col>
      <xdr:colOff>828674</xdr:colOff>
      <xdr:row>33</xdr:row>
      <xdr:rowOff>123825</xdr:rowOff>
    </xdr:to>
    <xdr:sp macro="" textlink="">
      <xdr:nvSpPr>
        <xdr:cNvPr id="3" name="Oval 2">
          <a:extLst>
            <a:ext uri="{FF2B5EF4-FFF2-40B4-BE49-F238E27FC236}">
              <a16:creationId xmlns:a16="http://schemas.microsoft.com/office/drawing/2014/main" id="{00000000-0008-0000-0E00-000003000000}"/>
            </a:ext>
          </a:extLst>
        </xdr:cNvPr>
        <xdr:cNvSpPr/>
      </xdr:nvSpPr>
      <xdr:spPr>
        <a:xfrm>
          <a:off x="1533524" y="6286499"/>
          <a:ext cx="457200" cy="4857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4</a:t>
          </a:r>
        </a:p>
      </xdr:txBody>
    </xdr:sp>
    <xdr:clientData/>
  </xdr:twoCellAnchor>
  <xdr:twoCellAnchor>
    <xdr:from>
      <xdr:col>2</xdr:col>
      <xdr:colOff>85725</xdr:colOff>
      <xdr:row>27</xdr:row>
      <xdr:rowOff>95250</xdr:rowOff>
    </xdr:from>
    <xdr:to>
      <xdr:col>2</xdr:col>
      <xdr:colOff>514350</xdr:colOff>
      <xdr:row>29</xdr:row>
      <xdr:rowOff>152401</xdr:rowOff>
    </xdr:to>
    <xdr:sp macro="" textlink="">
      <xdr:nvSpPr>
        <xdr:cNvPr id="4" name="Oval 3">
          <a:extLst>
            <a:ext uri="{FF2B5EF4-FFF2-40B4-BE49-F238E27FC236}">
              <a16:creationId xmlns:a16="http://schemas.microsoft.com/office/drawing/2014/main" id="{00000000-0008-0000-0E00-000004000000}"/>
            </a:ext>
          </a:extLst>
        </xdr:cNvPr>
        <xdr:cNvSpPr/>
      </xdr:nvSpPr>
      <xdr:spPr>
        <a:xfrm>
          <a:off x="485775" y="5514975"/>
          <a:ext cx="428625" cy="45720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6</a:t>
          </a:r>
        </a:p>
      </xdr:txBody>
    </xdr:sp>
    <xdr:clientData/>
  </xdr:twoCellAnchor>
  <xdr:twoCellAnchor>
    <xdr:from>
      <xdr:col>3</xdr:col>
      <xdr:colOff>390523</xdr:colOff>
      <xdr:row>18</xdr:row>
      <xdr:rowOff>133349</xdr:rowOff>
    </xdr:from>
    <xdr:to>
      <xdr:col>3</xdr:col>
      <xdr:colOff>857248</xdr:colOff>
      <xdr:row>20</xdr:row>
      <xdr:rowOff>57150</xdr:rowOff>
    </xdr:to>
    <xdr:sp macro="" textlink="">
      <xdr:nvSpPr>
        <xdr:cNvPr id="5" name="Oval 4">
          <a:extLst>
            <a:ext uri="{FF2B5EF4-FFF2-40B4-BE49-F238E27FC236}">
              <a16:creationId xmlns:a16="http://schemas.microsoft.com/office/drawing/2014/main" id="{00000000-0008-0000-0E00-000005000000}"/>
            </a:ext>
          </a:extLst>
        </xdr:cNvPr>
        <xdr:cNvSpPr/>
      </xdr:nvSpPr>
      <xdr:spPr>
        <a:xfrm>
          <a:off x="1552573" y="3457574"/>
          <a:ext cx="466725" cy="447676"/>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solidFill>
                <a:srgbClr val="FF0000"/>
              </a:solidFill>
            </a:rPr>
            <a:t>8</a:t>
          </a:r>
        </a:p>
      </xdr:txBody>
    </xdr:sp>
    <xdr:clientData/>
  </xdr:twoCellAnchor>
  <xdr:twoCellAnchor>
    <xdr:from>
      <xdr:col>7</xdr:col>
      <xdr:colOff>1200149</xdr:colOff>
      <xdr:row>65</xdr:row>
      <xdr:rowOff>47625</xdr:rowOff>
    </xdr:from>
    <xdr:to>
      <xdr:col>8</xdr:col>
      <xdr:colOff>95249</xdr:colOff>
      <xdr:row>72</xdr:row>
      <xdr:rowOff>171450</xdr:rowOff>
    </xdr:to>
    <xdr:sp macro="" textlink="">
      <xdr:nvSpPr>
        <xdr:cNvPr id="6" name="Left Brace 5">
          <a:extLst>
            <a:ext uri="{FF2B5EF4-FFF2-40B4-BE49-F238E27FC236}">
              <a16:creationId xmlns:a16="http://schemas.microsoft.com/office/drawing/2014/main" id="{00000000-0008-0000-0E00-000006000000}"/>
            </a:ext>
          </a:extLst>
        </xdr:cNvPr>
        <xdr:cNvSpPr/>
      </xdr:nvSpPr>
      <xdr:spPr>
        <a:xfrm>
          <a:off x="6476999" y="13554075"/>
          <a:ext cx="142875" cy="1543050"/>
        </a:xfrm>
        <a:prstGeom prst="leftBrace">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323850</xdr:colOff>
      <xdr:row>72</xdr:row>
      <xdr:rowOff>200025</xdr:rowOff>
    </xdr:from>
    <xdr:to>
      <xdr:col>9</xdr:col>
      <xdr:colOff>0</xdr:colOff>
      <xdr:row>80</xdr:row>
      <xdr:rowOff>200025</xdr:rowOff>
    </xdr:to>
    <xdr:sp macro="" textlink="">
      <xdr:nvSpPr>
        <xdr:cNvPr id="7" name="Left Brace 6">
          <a:extLst>
            <a:ext uri="{FF2B5EF4-FFF2-40B4-BE49-F238E27FC236}">
              <a16:creationId xmlns:a16="http://schemas.microsoft.com/office/drawing/2014/main" id="{00000000-0008-0000-0E00-000007000000}"/>
            </a:ext>
          </a:extLst>
        </xdr:cNvPr>
        <xdr:cNvSpPr/>
      </xdr:nvSpPr>
      <xdr:spPr>
        <a:xfrm>
          <a:off x="4591050" y="13906500"/>
          <a:ext cx="895350" cy="1524000"/>
        </a:xfrm>
        <a:prstGeom prst="leftBrace">
          <a:avLst>
            <a:gd name="adj1" fmla="val 8333"/>
            <a:gd name="adj2" fmla="val 4881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oneCellAnchor>
    <xdr:from>
      <xdr:col>4</xdr:col>
      <xdr:colOff>171449</xdr:colOff>
      <xdr:row>30</xdr:row>
      <xdr:rowOff>95250</xdr:rowOff>
    </xdr:from>
    <xdr:ext cx="225053" cy="254086"/>
    <xdr:pic>
      <xdr:nvPicPr>
        <xdr:cNvPr id="8" name="Picture 7" descr="Glossy Traffic Signal Light by ab-cs-center on DeviantArt">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24" y="6143625"/>
          <a:ext cx="225053" cy="254086"/>
        </a:xfrm>
        <a:prstGeom prst="rect">
          <a:avLst/>
        </a:prstGeom>
      </xdr:spPr>
    </xdr:pic>
    <xdr:clientData/>
  </xdr:oneCellAnchor>
  <xdr:oneCellAnchor>
    <xdr:from>
      <xdr:col>2</xdr:col>
      <xdr:colOff>496698</xdr:colOff>
      <xdr:row>20</xdr:row>
      <xdr:rowOff>75717</xdr:rowOff>
    </xdr:from>
    <xdr:ext cx="2496490" cy="236411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rot="10800000">
          <a:off x="1049148" y="3923817"/>
          <a:ext cx="2496490" cy="2364110"/>
        </a:xfrm>
        <a:prstGeom prst="rect">
          <a:avLst/>
        </a:prstGeom>
      </xdr:spPr>
    </xdr:pic>
    <xdr:clientData/>
  </xdr:oneCellAnchor>
  <xdr:twoCellAnchor>
    <xdr:from>
      <xdr:col>3</xdr:col>
      <xdr:colOff>1381125</xdr:colOff>
      <xdr:row>25</xdr:row>
      <xdr:rowOff>266700</xdr:rowOff>
    </xdr:from>
    <xdr:to>
      <xdr:col>3</xdr:col>
      <xdr:colOff>2266950</xdr:colOff>
      <xdr:row>30</xdr:row>
      <xdr:rowOff>95250</xdr:rowOff>
    </xdr:to>
    <xdr:sp macro="" textlink="">
      <xdr:nvSpPr>
        <xdr:cNvPr id="10" name="Oval 9">
          <a:extLst>
            <a:ext uri="{FF2B5EF4-FFF2-40B4-BE49-F238E27FC236}">
              <a16:creationId xmlns:a16="http://schemas.microsoft.com/office/drawing/2014/main" id="{00000000-0008-0000-0E00-00000A000000}"/>
            </a:ext>
          </a:extLst>
        </xdr:cNvPr>
        <xdr:cNvSpPr/>
      </xdr:nvSpPr>
      <xdr:spPr>
        <a:xfrm>
          <a:off x="2543175" y="5219700"/>
          <a:ext cx="885825" cy="923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38100</xdr:colOff>
      <xdr:row>38</xdr:row>
      <xdr:rowOff>38100</xdr:rowOff>
    </xdr:from>
    <xdr:ext cx="3814970" cy="1400175"/>
    <xdr:pic>
      <xdr:nvPicPr>
        <xdr:cNvPr id="11" name="Picture 1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277100"/>
          <a:ext cx="3814970" cy="140017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67</xdr:row>
      <xdr:rowOff>85725</xdr:rowOff>
    </xdr:from>
    <xdr:ext cx="3555448" cy="1409700"/>
    <xdr:pic>
      <xdr:nvPicPr>
        <xdr:cNvPr id="12" name="Picture 1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475" y="12849225"/>
          <a:ext cx="3555448" cy="1409700"/>
        </a:xfrm>
        <a:prstGeom prst="rect">
          <a:avLst/>
        </a:prstGeom>
        <a:noFill/>
        <a:ln w="38100">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38100</xdr:colOff>
      <xdr:row>30</xdr:row>
      <xdr:rowOff>0</xdr:rowOff>
    </xdr:from>
    <xdr:to>
      <xdr:col>7</xdr:col>
      <xdr:colOff>285751</xdr:colOff>
      <xdr:row>30</xdr:row>
      <xdr:rowOff>9528</xdr:rowOff>
    </xdr:to>
    <xdr:cxnSp macro="">
      <xdr:nvCxnSpPr>
        <xdr:cNvPr id="18" name="Straight Arrow Connector 17">
          <a:extLst>
            <a:ext uri="{FF2B5EF4-FFF2-40B4-BE49-F238E27FC236}">
              <a16:creationId xmlns:a16="http://schemas.microsoft.com/office/drawing/2014/main" id="{00000000-0008-0000-0E00-000012000000}"/>
            </a:ext>
          </a:extLst>
        </xdr:cNvPr>
        <xdr:cNvCxnSpPr/>
      </xdr:nvCxnSpPr>
      <xdr:spPr>
        <a:xfrm flipH="1" flipV="1">
          <a:off x="6029325" y="6038850"/>
          <a:ext cx="819151" cy="9528"/>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fLocksWithSheet="0"/>
  </xdr:twoCellAnchor>
  <xdr:twoCellAnchor>
    <xdr:from>
      <xdr:col>5</xdr:col>
      <xdr:colOff>0</xdr:colOff>
      <xdr:row>31</xdr:row>
      <xdr:rowOff>19050</xdr:rowOff>
    </xdr:from>
    <xdr:to>
      <xdr:col>8</xdr:col>
      <xdr:colOff>0</xdr:colOff>
      <xdr:row>33</xdr:row>
      <xdr:rowOff>38100</xdr:rowOff>
    </xdr:to>
    <xdr:sp macro="" textlink="">
      <xdr:nvSpPr>
        <xdr:cNvPr id="20" name="Rounded Rectangle 19">
          <a:extLst>
            <a:ext uri="{FF2B5EF4-FFF2-40B4-BE49-F238E27FC236}">
              <a16:creationId xmlns:a16="http://schemas.microsoft.com/office/drawing/2014/main" id="{00000000-0008-0000-0E00-000014000000}"/>
            </a:ext>
          </a:extLst>
        </xdr:cNvPr>
        <xdr:cNvSpPr/>
      </xdr:nvSpPr>
      <xdr:spPr>
        <a:xfrm>
          <a:off x="5124450" y="6248400"/>
          <a:ext cx="2686050" cy="4191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xdr:col>
      <xdr:colOff>1638300</xdr:colOff>
      <xdr:row>21</xdr:row>
      <xdr:rowOff>95250</xdr:rowOff>
    </xdr:from>
    <xdr:ext cx="322717" cy="342786"/>
    <xdr:sp macro="" textlink="">
      <xdr:nvSpPr>
        <xdr:cNvPr id="21" name="TextBox 20">
          <a:extLst>
            <a:ext uri="{FF2B5EF4-FFF2-40B4-BE49-F238E27FC236}">
              <a16:creationId xmlns:a16="http://schemas.microsoft.com/office/drawing/2014/main" id="{00000000-0008-0000-0E00-000015000000}"/>
            </a:ext>
          </a:extLst>
        </xdr:cNvPr>
        <xdr:cNvSpPr txBox="1"/>
      </xdr:nvSpPr>
      <xdr:spPr>
        <a:xfrm>
          <a:off x="2800350" y="4181475"/>
          <a:ext cx="32271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Q</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5\25917%20-%20NCHRP%2017-98%20ICE%20Guide\Task%207%20-%20Develop%20Guide%20and%20Tools\7.2%20Tool%20Development\formatted%20tools\Cap-X_ODOT_Formatte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ryus\Downloads\Multimodal%20urban%20street%20LOS%20planning%20tool%202018-06-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25\25917%20-%20NCHRP%2017-98%20ICE%20Guide\Task%207%20-%20Develop%20Guide%20and%20Tools\7.2%20Tool%20Development\formatted%20tools\FHWA_SPICE_Format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schroeder\Downloads\Signalized%20Crossing%20Pedestrian%20Delay%20Computational%20Engi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Abbreviations &amp; Assumptions"/>
      <sheetName val="Changelog"/>
      <sheetName val="1 - Volume Input"/>
      <sheetName val="2 - Base and Alt Sel"/>
      <sheetName val="LanesDefaults"/>
      <sheetName val="3 - Alt Num Lanes Input"/>
      <sheetName val="Crosswalks sheet"/>
      <sheetName val="Multimodal Ped"/>
      <sheetName val="Multimodal Ped_Default_vals"/>
      <sheetName val="Multimodal Bike"/>
      <sheetName val="Multimodal Bike_Default_vals"/>
      <sheetName val="4a - Summary Results"/>
      <sheetName val="4b - Detailed Results"/>
      <sheetName val="5a - Summary Report"/>
      <sheetName val="SumComp"/>
      <sheetName val="5b - Detailed Report"/>
      <sheetName val="Conventional Shared RT LT"/>
      <sheetName val="Traffic Signal"/>
      <sheetName val="CGT N"/>
      <sheetName val="CGT W"/>
      <sheetName val="CGT E"/>
      <sheetName val="CGT S"/>
      <sheetName val="TWSC N-S"/>
      <sheetName val="TWSC E-W"/>
      <sheetName val="AWSC"/>
      <sheetName val="QR S-W"/>
      <sheetName val="QR N-E"/>
      <sheetName val="QR S-E"/>
      <sheetName val="QR N-W"/>
      <sheetName val="P DLT N-S"/>
      <sheetName val="P DLT E-W"/>
      <sheetName val="Full DLT"/>
      <sheetName val="RCUT N-S"/>
      <sheetName val="RCUT E-W"/>
      <sheetName val="Unsig RCUT N-S"/>
      <sheetName val="Unsig RCUT E-W"/>
      <sheetName val="MUT N-S "/>
      <sheetName val="MUT E-W"/>
      <sheetName val="PMUT N-S"/>
      <sheetName val="PMUT E-W"/>
      <sheetName val="Bowtie N-S"/>
      <sheetName val="Bowtie E-W"/>
      <sheetName val="Split Intersection E-W"/>
      <sheetName val="Split Intersection N-S"/>
      <sheetName val="Echelon N-S"/>
      <sheetName val="Echelon E-W"/>
      <sheetName val="Center Turn Overpass"/>
      <sheetName val="Center Turn Overpass E-W"/>
      <sheetName val="50 Mini-Rndabt"/>
      <sheetName val="75 Mini-Rndabt"/>
      <sheetName val="1x1 Rndabt "/>
      <sheetName val="1NS x 2 EW Rndabt"/>
      <sheetName val="2 NS x 1 EW Rndabt"/>
      <sheetName val="2x2 Rndabt"/>
      <sheetName val="3x3 Rndabt"/>
      <sheetName val="TD N-S"/>
      <sheetName val="TD E-W"/>
      <sheetName val="PCLA N-S"/>
      <sheetName val="PCLA E-W"/>
      <sheetName val="PCLB N-S"/>
      <sheetName val="PCLB E-W"/>
      <sheetName val="DLTI N-S"/>
      <sheetName val="DLTI E-W "/>
      <sheetName val="DDI N-S"/>
      <sheetName val="DDI E-W"/>
      <sheetName val="Contraflow Left N-S"/>
      <sheetName val="Contraflow Left E-W"/>
      <sheetName val="SPI N-S "/>
      <sheetName val="SPI E-W"/>
      <sheetName val="Sheet2"/>
      <sheetName val="SPI RAB N-S"/>
      <sheetName val="SPI RAB E-W"/>
      <sheetName val="Instructions"/>
    </sheetNames>
    <sheetDataSet>
      <sheetData sheetId="0" refreshError="1"/>
      <sheetData sheetId="1" refreshError="1"/>
      <sheetData sheetId="2" refreshError="1"/>
      <sheetData sheetId="3" refreshError="1"/>
      <sheetData sheetId="4">
        <row r="8">
          <cell r="M8" t="str">
            <v>Cap-X Sample Street</v>
          </cell>
        </row>
        <row r="10">
          <cell r="M10">
            <v>10000</v>
          </cell>
        </row>
        <row r="12">
          <cell r="M12" t="str">
            <v>Anywhere, USA</v>
          </cell>
        </row>
        <row r="14">
          <cell r="M14" t="str">
            <v>2017 AM</v>
          </cell>
        </row>
        <row r="16">
          <cell r="M16">
            <v>4</v>
          </cell>
        </row>
        <row r="18">
          <cell r="M18" t="str">
            <v>North-South</v>
          </cell>
          <cell r="BH18" t="str">
            <v>East-West</v>
          </cell>
        </row>
        <row r="20">
          <cell r="M20" t="str">
            <v>N</v>
          </cell>
        </row>
        <row r="32">
          <cell r="AQ32">
            <v>0.02</v>
          </cell>
          <cell r="AY32">
            <v>0</v>
          </cell>
        </row>
        <row r="34">
          <cell r="AQ34">
            <v>0.02</v>
          </cell>
          <cell r="AY34">
            <v>0</v>
          </cell>
        </row>
        <row r="36">
          <cell r="AQ36">
            <v>0.02</v>
          </cell>
          <cell r="AY36">
            <v>0</v>
          </cell>
        </row>
        <row r="38">
          <cell r="AQ38">
            <v>0.02</v>
          </cell>
          <cell r="AY38">
            <v>0</v>
          </cell>
        </row>
        <row r="40">
          <cell r="K40">
            <v>0.8</v>
          </cell>
          <cell r="S40">
            <v>0.95</v>
          </cell>
          <cell r="AI40">
            <v>0.85</v>
          </cell>
        </row>
        <row r="44">
          <cell r="AU44">
            <v>2</v>
          </cell>
        </row>
        <row r="56">
          <cell r="AU56">
            <v>1800</v>
          </cell>
        </row>
        <row r="58">
          <cell r="AU58">
            <v>1750</v>
          </cell>
        </row>
        <row r="60">
          <cell r="AU60">
            <v>1700</v>
          </cell>
        </row>
        <row r="64">
          <cell r="BG64">
            <v>3</v>
          </cell>
        </row>
        <row r="74">
          <cell r="S74">
            <v>0</v>
          </cell>
          <cell r="AA74">
            <v>306</v>
          </cell>
          <cell r="AI74">
            <v>1020</v>
          </cell>
          <cell r="AQ74">
            <v>204</v>
          </cell>
        </row>
        <row r="76">
          <cell r="S76">
            <v>0</v>
          </cell>
          <cell r="AA76">
            <v>340</v>
          </cell>
          <cell r="AI76">
            <v>1133</v>
          </cell>
          <cell r="AQ76">
            <v>226</v>
          </cell>
        </row>
        <row r="78">
          <cell r="S78">
            <v>0</v>
          </cell>
          <cell r="AA78">
            <v>31</v>
          </cell>
          <cell r="AI78">
            <v>216</v>
          </cell>
          <cell r="AQ78">
            <v>51</v>
          </cell>
        </row>
        <row r="80">
          <cell r="S80">
            <v>0</v>
          </cell>
          <cell r="AA80">
            <v>102</v>
          </cell>
          <cell r="AI80">
            <v>306</v>
          </cell>
          <cell r="AQ80">
            <v>179</v>
          </cell>
        </row>
      </sheetData>
      <sheetData sheetId="5">
        <row r="47">
          <cell r="C47" t="b">
            <v>1</v>
          </cell>
        </row>
        <row r="48">
          <cell r="C48" t="b">
            <v>1</v>
          </cell>
        </row>
        <row r="49">
          <cell r="C49" t="b">
            <v>1</v>
          </cell>
        </row>
        <row r="50">
          <cell r="C50" t="b">
            <v>1</v>
          </cell>
        </row>
        <row r="51">
          <cell r="C51" t="b">
            <v>0</v>
          </cell>
        </row>
        <row r="52">
          <cell r="C52" t="b">
            <v>1</v>
          </cell>
        </row>
        <row r="53">
          <cell r="C53" t="b">
            <v>1</v>
          </cell>
        </row>
        <row r="54">
          <cell r="C54" t="b">
            <v>1</v>
          </cell>
        </row>
        <row r="55">
          <cell r="C55" t="b">
            <v>1</v>
          </cell>
        </row>
        <row r="56">
          <cell r="C56" t="b">
            <v>1</v>
          </cell>
        </row>
        <row r="57">
          <cell r="C57" t="b">
            <v>1</v>
          </cell>
        </row>
        <row r="58">
          <cell r="C58" t="b">
            <v>1</v>
          </cell>
        </row>
        <row r="59">
          <cell r="C59" t="b">
            <v>1</v>
          </cell>
        </row>
        <row r="60">
          <cell r="C60" t="b">
            <v>1</v>
          </cell>
        </row>
        <row r="61">
          <cell r="C61" t="b">
            <v>1</v>
          </cell>
        </row>
        <row r="62">
          <cell r="C62" t="b">
            <v>1</v>
          </cell>
        </row>
        <row r="63">
          <cell r="C63" t="b">
            <v>1</v>
          </cell>
        </row>
        <row r="64">
          <cell r="C64" t="b">
            <v>1</v>
          </cell>
        </row>
        <row r="65">
          <cell r="C65" t="b">
            <v>1</v>
          </cell>
        </row>
        <row r="66">
          <cell r="C66" t="b">
            <v>1</v>
          </cell>
        </row>
        <row r="67">
          <cell r="C67" t="b">
            <v>1</v>
          </cell>
        </row>
        <row r="68">
          <cell r="C68" t="b">
            <v>1</v>
          </cell>
        </row>
        <row r="69">
          <cell r="C69" t="b">
            <v>1</v>
          </cell>
        </row>
        <row r="70">
          <cell r="C70" t="b">
            <v>1</v>
          </cell>
        </row>
        <row r="71">
          <cell r="C71" t="b">
            <v>1</v>
          </cell>
        </row>
        <row r="72">
          <cell r="C72" t="b">
            <v>1</v>
          </cell>
        </row>
        <row r="73">
          <cell r="C73" t="b">
            <v>1</v>
          </cell>
        </row>
        <row r="75">
          <cell r="C75" t="b">
            <v>1</v>
          </cell>
        </row>
        <row r="76">
          <cell r="C76" t="b">
            <v>1</v>
          </cell>
        </row>
        <row r="77">
          <cell r="C77" t="b">
            <v>1</v>
          </cell>
        </row>
        <row r="78">
          <cell r="C78" t="b">
            <v>1</v>
          </cell>
        </row>
        <row r="79">
          <cell r="C79" t="b">
            <v>1</v>
          </cell>
        </row>
        <row r="80">
          <cell r="C80" t="b">
            <v>1</v>
          </cell>
        </row>
        <row r="81">
          <cell r="C81" t="b">
            <v>1</v>
          </cell>
        </row>
        <row r="82">
          <cell r="C82" t="b">
            <v>1</v>
          </cell>
        </row>
        <row r="83">
          <cell r="C83" t="b">
            <v>1</v>
          </cell>
        </row>
      </sheetData>
      <sheetData sheetId="6" refreshError="1"/>
      <sheetData sheetId="7">
        <row r="16">
          <cell r="M16" t="str">
            <v>Intersections and Interchanges</v>
          </cell>
        </row>
      </sheetData>
      <sheetData sheetId="8">
        <row r="5">
          <cell r="L5" t="str">
            <v>Stop/Signal Controlled</v>
          </cell>
          <cell r="M5" t="str">
            <v>Marked</v>
          </cell>
        </row>
        <row r="6">
          <cell r="L6" t="str">
            <v>Free Flowing</v>
          </cell>
          <cell r="M6" t="str">
            <v>Unmarked</v>
          </cell>
        </row>
        <row r="7">
          <cell r="L7" t="str">
            <v xml:space="preserve">Yield Controlled </v>
          </cell>
        </row>
        <row r="8">
          <cell r="L8" t="str">
            <v xml:space="preserve">Permissive Left </v>
          </cell>
        </row>
      </sheetData>
      <sheetData sheetId="9">
        <row r="21">
          <cell r="AO21">
            <v>20</v>
          </cell>
        </row>
        <row r="23">
          <cell r="AO23">
            <v>20</v>
          </cell>
        </row>
        <row r="25">
          <cell r="AO25">
            <v>20</v>
          </cell>
        </row>
        <row r="27">
          <cell r="P27">
            <v>25</v>
          </cell>
          <cell r="AO27">
            <v>30</v>
          </cell>
        </row>
        <row r="29">
          <cell r="P29">
            <v>30</v>
          </cell>
          <cell r="AO29">
            <v>30</v>
          </cell>
        </row>
        <row r="316">
          <cell r="W316" t="str">
            <v>No</v>
          </cell>
        </row>
        <row r="317">
          <cell r="W317" t="str">
            <v>Yes Crossing(s) with 2 stages</v>
          </cell>
        </row>
        <row r="318">
          <cell r="W318" t="str">
            <v>Yes Crossing(s) with 3+ stages</v>
          </cell>
        </row>
      </sheetData>
      <sheetData sheetId="10">
        <row r="21">
          <cell r="Z21">
            <v>45</v>
          </cell>
        </row>
        <row r="23">
          <cell r="Z23">
            <v>35</v>
          </cell>
        </row>
      </sheetData>
      <sheetData sheetId="11" refreshError="1"/>
      <sheetData sheetId="12">
        <row r="251">
          <cell r="AH251">
            <v>9.0705999999999995E-2</v>
          </cell>
        </row>
      </sheetData>
      <sheetData sheetId="13" refreshError="1"/>
      <sheetData sheetId="14" refreshError="1"/>
      <sheetData sheetId="15" refreshError="1"/>
      <sheetData sheetId="16" refreshError="1"/>
      <sheetData sheetId="17" refreshError="1"/>
      <sheetData sheetId="18">
        <row r="28">
          <cell r="H28">
            <v>1364</v>
          </cell>
        </row>
        <row r="31">
          <cell r="H31">
            <v>0.8</v>
          </cell>
        </row>
      </sheetData>
      <sheetData sheetId="19">
        <row r="28">
          <cell r="H28">
            <v>1109.6246537396123</v>
          </cell>
        </row>
        <row r="31">
          <cell r="H31">
            <v>0.65</v>
          </cell>
        </row>
      </sheetData>
      <sheetData sheetId="20">
        <row r="28">
          <cell r="H28">
            <v>921.23684210526324</v>
          </cell>
        </row>
        <row r="31">
          <cell r="H31">
            <v>0.53</v>
          </cell>
        </row>
      </sheetData>
      <sheetData sheetId="21">
        <row r="28">
          <cell r="H28">
            <v>537.47368421052636</v>
          </cell>
        </row>
        <row r="31">
          <cell r="H31">
            <v>0.31</v>
          </cell>
        </row>
      </sheetData>
      <sheetData sheetId="22">
        <row r="28">
          <cell r="H28">
            <v>543.52631578947376</v>
          </cell>
        </row>
        <row r="31">
          <cell r="H31">
            <v>0.31</v>
          </cell>
        </row>
      </sheetData>
      <sheetData sheetId="23">
        <row r="28">
          <cell r="H28">
            <v>975.26315789473688</v>
          </cell>
        </row>
        <row r="31">
          <cell r="H31">
            <v>0.56000000000000005</v>
          </cell>
        </row>
      </sheetData>
      <sheetData sheetId="24">
        <row r="21">
          <cell r="AM21" t="str">
            <v>&gt;10</v>
          </cell>
        </row>
      </sheetData>
      <sheetData sheetId="25">
        <row r="22">
          <cell r="AM22" t="str">
            <v>&gt;10</v>
          </cell>
        </row>
      </sheetData>
      <sheetData sheetId="26">
        <row r="28">
          <cell r="J28">
            <v>4037</v>
          </cell>
        </row>
        <row r="31">
          <cell r="J31">
            <v>2.2400000000000002</v>
          </cell>
        </row>
      </sheetData>
      <sheetData sheetId="27">
        <row r="18">
          <cell r="E18">
            <v>975.26315789473676</v>
          </cell>
          <cell r="AM18">
            <v>947.08823529411768</v>
          </cell>
        </row>
        <row r="21">
          <cell r="E21">
            <v>0.56000000000000005</v>
          </cell>
          <cell r="AM21">
            <v>0.53</v>
          </cell>
        </row>
        <row r="63">
          <cell r="AY63">
            <v>775.5</v>
          </cell>
        </row>
        <row r="66">
          <cell r="AY66">
            <v>0.44</v>
          </cell>
        </row>
      </sheetData>
      <sheetData sheetId="28">
        <row r="28">
          <cell r="C28">
            <v>778.63157894736844</v>
          </cell>
        </row>
        <row r="31">
          <cell r="C31">
            <v>0.44</v>
          </cell>
        </row>
        <row r="50">
          <cell r="C50">
            <v>873.58823529411768</v>
          </cell>
        </row>
        <row r="53">
          <cell r="C53">
            <v>0.49</v>
          </cell>
        </row>
        <row r="67">
          <cell r="AV67">
            <v>987.73684210526324</v>
          </cell>
        </row>
        <row r="70">
          <cell r="AV70">
            <v>0.56000000000000005</v>
          </cell>
        </row>
      </sheetData>
      <sheetData sheetId="29">
        <row r="17">
          <cell r="AS17">
            <v>975.26315789473676</v>
          </cell>
        </row>
        <row r="20">
          <cell r="AS20">
            <v>0.56000000000000005</v>
          </cell>
        </row>
        <row r="24">
          <cell r="C24">
            <v>816</v>
          </cell>
        </row>
        <row r="27">
          <cell r="C27">
            <v>0.45</v>
          </cell>
        </row>
        <row r="62">
          <cell r="C62">
            <v>567.8947368421052</v>
          </cell>
        </row>
        <row r="65">
          <cell r="C65">
            <v>0.32</v>
          </cell>
        </row>
      </sheetData>
      <sheetData sheetId="30">
        <row r="24">
          <cell r="AW24">
            <v>588.1052631578948</v>
          </cell>
        </row>
        <row r="27">
          <cell r="AW27">
            <v>0.34</v>
          </cell>
        </row>
        <row r="54">
          <cell r="AW54">
            <v>1014.5</v>
          </cell>
        </row>
        <row r="57">
          <cell r="AW57">
            <v>0.56000000000000005</v>
          </cell>
        </row>
        <row r="65">
          <cell r="I65">
            <v>921.23684210526324</v>
          </cell>
        </row>
        <row r="68">
          <cell r="I68">
            <v>0.53</v>
          </cell>
        </row>
      </sheetData>
      <sheetData sheetId="31">
        <row r="19">
          <cell r="I19">
            <v>338.63157894736844</v>
          </cell>
        </row>
        <row r="22">
          <cell r="I22">
            <v>0.19</v>
          </cell>
        </row>
        <row r="25">
          <cell r="AS25">
            <v>1041.6052631578948</v>
          </cell>
        </row>
        <row r="28">
          <cell r="AS28">
            <v>0.6</v>
          </cell>
        </row>
        <row r="57">
          <cell r="AS57">
            <v>385.36842105263156</v>
          </cell>
        </row>
        <row r="60">
          <cell r="AS60">
            <v>0.21</v>
          </cell>
        </row>
      </sheetData>
      <sheetData sheetId="32">
        <row r="27">
          <cell r="AQ27">
            <v>781.86842105263156</v>
          </cell>
        </row>
        <row r="28">
          <cell r="G28">
            <v>939.6052631578948</v>
          </cell>
        </row>
        <row r="30">
          <cell r="AQ30">
            <v>0.45</v>
          </cell>
        </row>
        <row r="31">
          <cell r="G31">
            <v>0.52</v>
          </cell>
        </row>
        <row r="58">
          <cell r="AU58">
            <v>883.3947368421052</v>
          </cell>
        </row>
        <row r="61">
          <cell r="AU61">
            <v>0.49</v>
          </cell>
        </row>
      </sheetData>
      <sheetData sheetId="33">
        <row r="17">
          <cell r="E17">
            <v>338.63157894736844</v>
          </cell>
          <cell r="AW17">
            <v>883.3947368421052</v>
          </cell>
        </row>
        <row r="20">
          <cell r="E20">
            <v>0.19</v>
          </cell>
          <cell r="AW20">
            <v>0.49</v>
          </cell>
        </row>
        <row r="27">
          <cell r="E27">
            <v>719.5</v>
          </cell>
        </row>
        <row r="30">
          <cell r="E30">
            <v>0.4</v>
          </cell>
        </row>
        <row r="66">
          <cell r="E66">
            <v>939.6052631578948</v>
          </cell>
          <cell r="AW66">
            <v>385.36842105263156</v>
          </cell>
        </row>
        <row r="69">
          <cell r="E69">
            <v>0.52</v>
          </cell>
          <cell r="AW69">
            <v>0.21</v>
          </cell>
        </row>
      </sheetData>
      <sheetData sheetId="34">
        <row r="20">
          <cell r="F20">
            <v>1990.25</v>
          </cell>
        </row>
        <row r="23">
          <cell r="F23">
            <v>1.1100000000000001</v>
          </cell>
        </row>
        <row r="28">
          <cell r="AV28">
            <v>3409.4117647058829</v>
          </cell>
        </row>
        <row r="31">
          <cell r="AV31">
            <v>1.89</v>
          </cell>
        </row>
        <row r="57">
          <cell r="F57">
            <v>3192.9411764705883</v>
          </cell>
        </row>
        <row r="60">
          <cell r="F60">
            <v>1.77</v>
          </cell>
        </row>
        <row r="65">
          <cell r="AV65">
            <v>1951</v>
          </cell>
        </row>
        <row r="68">
          <cell r="AV68">
            <v>1.08</v>
          </cell>
        </row>
      </sheetData>
      <sheetData sheetId="35">
        <row r="17">
          <cell r="P17">
            <v>968.08823529411768</v>
          </cell>
          <cell r="BG17">
            <v>1359.5</v>
          </cell>
        </row>
        <row r="20">
          <cell r="P20">
            <v>0.54</v>
          </cell>
          <cell r="BG20">
            <v>0.76</v>
          </cell>
        </row>
        <row r="49">
          <cell r="N49">
            <v>1073.75</v>
          </cell>
          <cell r="BG49">
            <v>1216.0882352941176</v>
          </cell>
        </row>
        <row r="52">
          <cell r="N52">
            <v>0.6</v>
          </cell>
          <cell r="BG52">
            <v>0.68</v>
          </cell>
        </row>
      </sheetData>
      <sheetData sheetId="36">
        <row r="20">
          <cell r="F20">
            <v>298</v>
          </cell>
        </row>
        <row r="23">
          <cell r="F23">
            <v>1.3917961660080125</v>
          </cell>
        </row>
        <row r="28">
          <cell r="AV28">
            <v>612</v>
          </cell>
        </row>
        <row r="31">
          <cell r="AV31">
            <v>3.895836934997003</v>
          </cell>
        </row>
        <row r="57">
          <cell r="F57">
            <v>556</v>
          </cell>
        </row>
        <row r="60">
          <cell r="F60">
            <v>3.2242371015887099</v>
          </cell>
        </row>
        <row r="65">
          <cell r="AV65">
            <v>587</v>
          </cell>
        </row>
        <row r="68">
          <cell r="AV68">
            <v>1.6198994491308947</v>
          </cell>
        </row>
      </sheetData>
      <sheetData sheetId="37">
        <row r="17">
          <cell r="P17">
            <v>1235</v>
          </cell>
          <cell r="BG17">
            <v>1699</v>
          </cell>
        </row>
        <row r="20">
          <cell r="P20">
            <v>1.7738985884601257</v>
          </cell>
          <cell r="BG20">
            <v>1.3852088231333026</v>
          </cell>
        </row>
        <row r="49">
          <cell r="N49">
            <v>1530</v>
          </cell>
          <cell r="BG49">
            <v>1051</v>
          </cell>
        </row>
        <row r="52">
          <cell r="N52">
            <v>0.71552536484859508</v>
          </cell>
          <cell r="BG52">
            <v>2.6290148620343943</v>
          </cell>
        </row>
      </sheetData>
      <sheetData sheetId="38">
        <row r="24">
          <cell r="AM24">
            <v>701.5</v>
          </cell>
        </row>
        <row r="27">
          <cell r="AM27">
            <v>0.39</v>
          </cell>
        </row>
        <row r="41">
          <cell r="AT41">
            <v>912.94117647058829</v>
          </cell>
        </row>
        <row r="44">
          <cell r="AT44">
            <v>0.51</v>
          </cell>
        </row>
        <row r="59">
          <cell r="AM59">
            <v>714.75</v>
          </cell>
        </row>
        <row r="62">
          <cell r="AM62">
            <v>0.4</v>
          </cell>
        </row>
      </sheetData>
      <sheetData sheetId="39">
        <row r="22">
          <cell r="F22">
            <v>1228.75</v>
          </cell>
          <cell r="AK22">
            <v>1067.0882352941176</v>
          </cell>
          <cell r="BP22">
            <v>1359.5</v>
          </cell>
        </row>
        <row r="25">
          <cell r="F25">
            <v>0.68</v>
          </cell>
          <cell r="AK25">
            <v>0.59</v>
          </cell>
          <cell r="BP25">
            <v>0.76</v>
          </cell>
        </row>
      </sheetData>
      <sheetData sheetId="40">
        <row r="24">
          <cell r="AM24">
            <v>276.5</v>
          </cell>
        </row>
        <row r="27">
          <cell r="AM27">
            <v>0.15</v>
          </cell>
        </row>
        <row r="41">
          <cell r="AT41">
            <v>1092.6052631578948</v>
          </cell>
        </row>
        <row r="44">
          <cell r="AT44">
            <v>0.62</v>
          </cell>
        </row>
        <row r="59">
          <cell r="AM59">
            <v>332.25</v>
          </cell>
        </row>
        <row r="62">
          <cell r="AM62">
            <v>0.18</v>
          </cell>
        </row>
      </sheetData>
      <sheetData sheetId="41">
        <row r="21">
          <cell r="AK21">
            <v>979.71981424148612</v>
          </cell>
        </row>
        <row r="22">
          <cell r="F22">
            <v>1190</v>
          </cell>
          <cell r="BP22">
            <v>1232</v>
          </cell>
        </row>
        <row r="24">
          <cell r="AK24">
            <v>0.56000000000000005</v>
          </cell>
        </row>
        <row r="25">
          <cell r="F25">
            <v>0.66</v>
          </cell>
          <cell r="BP25">
            <v>0.68</v>
          </cell>
        </row>
      </sheetData>
      <sheetData sheetId="42">
        <row r="24">
          <cell r="V24">
            <v>988.5</v>
          </cell>
        </row>
        <row r="27">
          <cell r="V27">
            <v>0.73222222222222222</v>
          </cell>
          <cell r="AQ27">
            <v>1906</v>
          </cell>
        </row>
        <row r="28">
          <cell r="G28">
            <v>1530</v>
          </cell>
        </row>
        <row r="30">
          <cell r="AQ30">
            <v>1.0900000000000001</v>
          </cell>
        </row>
        <row r="31">
          <cell r="G31">
            <v>1.6186690479636423</v>
          </cell>
        </row>
        <row r="58">
          <cell r="AU58">
            <v>792.5</v>
          </cell>
        </row>
        <row r="59">
          <cell r="AI59">
            <v>933.5</v>
          </cell>
        </row>
        <row r="61">
          <cell r="AU61">
            <v>0.80901352423058015</v>
          </cell>
        </row>
        <row r="62">
          <cell r="AN62">
            <v>0.69148148148148147</v>
          </cell>
        </row>
      </sheetData>
      <sheetData sheetId="43">
        <row r="19">
          <cell r="I19">
            <v>159</v>
          </cell>
        </row>
        <row r="22">
          <cell r="I22">
            <v>0.16741358883666524</v>
          </cell>
        </row>
        <row r="25">
          <cell r="AS25">
            <v>1847</v>
          </cell>
        </row>
        <row r="28">
          <cell r="AS28">
            <v>1.06</v>
          </cell>
        </row>
        <row r="32">
          <cell r="E32">
            <v>1280</v>
          </cell>
        </row>
        <row r="35">
          <cell r="E35">
            <v>0.90140845070422537</v>
          </cell>
        </row>
        <row r="54">
          <cell r="E54">
            <v>584</v>
          </cell>
        </row>
        <row r="57">
          <cell r="E57">
            <v>0.41126760563380282</v>
          </cell>
          <cell r="AS57">
            <v>255</v>
          </cell>
        </row>
        <row r="60">
          <cell r="AS60">
            <v>0.23914179811329123</v>
          </cell>
        </row>
      </sheetData>
      <sheetData sheetId="44">
        <row r="28">
          <cell r="H28">
            <v>1745</v>
          </cell>
          <cell r="AP28">
            <v>1576</v>
          </cell>
        </row>
        <row r="31">
          <cell r="H31">
            <v>1</v>
          </cell>
          <cell r="AP31">
            <v>0.9</v>
          </cell>
        </row>
      </sheetData>
      <sheetData sheetId="45">
        <row r="28">
          <cell r="H28">
            <v>1900</v>
          </cell>
          <cell r="AP28">
            <v>2101</v>
          </cell>
        </row>
        <row r="31">
          <cell r="H31">
            <v>1.0900000000000001</v>
          </cell>
          <cell r="AP31">
            <v>1.2</v>
          </cell>
        </row>
      </sheetData>
      <sheetData sheetId="46">
        <row r="28">
          <cell r="AR28">
            <v>778</v>
          </cell>
        </row>
        <row r="31">
          <cell r="AR31">
            <v>0.43</v>
          </cell>
        </row>
        <row r="54">
          <cell r="I54">
            <v>618</v>
          </cell>
        </row>
        <row r="57">
          <cell r="I57">
            <v>0.34</v>
          </cell>
        </row>
      </sheetData>
      <sheetData sheetId="47">
        <row r="28">
          <cell r="H28">
            <v>675</v>
          </cell>
        </row>
        <row r="31">
          <cell r="H31">
            <v>0.38</v>
          </cell>
        </row>
        <row r="55">
          <cell r="AS55">
            <v>721</v>
          </cell>
        </row>
        <row r="58">
          <cell r="AS58">
            <v>0.4</v>
          </cell>
        </row>
      </sheetData>
      <sheetData sheetId="48">
        <row r="28">
          <cell r="H28">
            <v>778</v>
          </cell>
        </row>
        <row r="31">
          <cell r="H31">
            <v>0.43</v>
          </cell>
        </row>
        <row r="56">
          <cell r="AQ56">
            <v>465.26315789473688</v>
          </cell>
        </row>
        <row r="59">
          <cell r="AQ59">
            <v>0.26</v>
          </cell>
        </row>
      </sheetData>
      <sheetData sheetId="49" refreshError="1"/>
      <sheetData sheetId="50">
        <row r="23">
          <cell r="J23">
            <v>297.9591836734694</v>
          </cell>
        </row>
        <row r="25">
          <cell r="AU25">
            <v>6.0821265976762691</v>
          </cell>
        </row>
        <row r="65">
          <cell r="J65">
            <v>3.6325061619432129</v>
          </cell>
          <cell r="AT65">
            <v>586.73469387755108</v>
          </cell>
        </row>
      </sheetData>
      <sheetData sheetId="51">
        <row r="23">
          <cell r="J23">
            <v>297.9591836734694</v>
          </cell>
        </row>
        <row r="25">
          <cell r="AU25">
            <v>4.8447845039852622</v>
          </cell>
        </row>
        <row r="65">
          <cell r="J65">
            <v>3.3239678055596298</v>
          </cell>
          <cell r="AT65">
            <v>586.73469387755108</v>
          </cell>
        </row>
      </sheetData>
      <sheetData sheetId="52">
        <row r="23">
          <cell r="J23">
            <v>1.0985129654843313</v>
          </cell>
        </row>
        <row r="25">
          <cell r="AU25">
            <v>2.6024128940422404</v>
          </cell>
        </row>
        <row r="65">
          <cell r="J65">
            <v>2.0588075244259958</v>
          </cell>
          <cell r="AT65">
            <v>1.7324364130677354</v>
          </cell>
        </row>
      </sheetData>
      <sheetData sheetId="53">
        <row r="23">
          <cell r="J23">
            <v>0.8796264197834186</v>
          </cell>
          <cell r="AX23">
            <v>1.2537052232921932</v>
          </cell>
        </row>
        <row r="25">
          <cell r="AX25">
            <v>1.2785356225270927</v>
          </cell>
        </row>
        <row r="62">
          <cell r="J62">
            <v>1.0045013388731892</v>
          </cell>
          <cell r="AX62">
            <v>1.4396115909591312</v>
          </cell>
        </row>
        <row r="64">
          <cell r="J64">
            <v>1.033543584323751</v>
          </cell>
        </row>
      </sheetData>
      <sheetData sheetId="54">
        <row r="23">
          <cell r="J23">
            <v>0.48554743640371928</v>
          </cell>
          <cell r="AX23">
            <v>2.4123313632586654</v>
          </cell>
        </row>
        <row r="25">
          <cell r="J25">
            <v>0.46620200248521187</v>
          </cell>
        </row>
        <row r="62">
          <cell r="J62">
            <v>1.950082234573115</v>
          </cell>
          <cell r="AX62">
            <v>0.78262082745023387</v>
          </cell>
        </row>
        <row r="64">
          <cell r="AX64">
            <v>0.76299414320833958</v>
          </cell>
        </row>
      </sheetData>
      <sheetData sheetId="55">
        <row r="23">
          <cell r="J23">
            <v>0.48554743640371928</v>
          </cell>
          <cell r="AX23">
            <v>1.2537052232921932</v>
          </cell>
        </row>
        <row r="25">
          <cell r="J25">
            <v>0.46620200248521187</v>
          </cell>
          <cell r="AX25">
            <v>1.2785356225270927</v>
          </cell>
        </row>
        <row r="63">
          <cell r="J63">
            <v>1.0045013388731892</v>
          </cell>
          <cell r="AX63">
            <v>0.78262082745023387</v>
          </cell>
        </row>
        <row r="65">
          <cell r="J65">
            <v>1.033543584323751</v>
          </cell>
          <cell r="AX65">
            <v>0.76299414320833958</v>
          </cell>
        </row>
      </sheetData>
      <sheetData sheetId="56">
        <row r="21">
          <cell r="I21">
            <v>0.33058548861529824</v>
          </cell>
          <cell r="AY21">
            <v>0.85358653500745074</v>
          </cell>
        </row>
        <row r="23">
          <cell r="I23">
            <v>0.33058548861529818</v>
          </cell>
          <cell r="AY23">
            <v>0.85358653500745074</v>
          </cell>
        </row>
        <row r="25">
          <cell r="I25">
            <v>0.31666551112203073</v>
          </cell>
          <cell r="AY25">
            <v>0.86843929077311954</v>
          </cell>
        </row>
        <row r="63">
          <cell r="I63">
            <v>0.68391580519025663</v>
          </cell>
          <cell r="AY63">
            <v>0.53284822294484013</v>
          </cell>
        </row>
        <row r="65">
          <cell r="I65">
            <v>0.68391580519025674</v>
          </cell>
          <cell r="AY65">
            <v>0.53284822294484013</v>
          </cell>
        </row>
        <row r="67">
          <cell r="I67">
            <v>0.70202960444632145</v>
          </cell>
          <cell r="AY67">
            <v>0.51826017274528713</v>
          </cell>
        </row>
      </sheetData>
      <sheetData sheetId="57">
        <row r="17">
          <cell r="U17">
            <v>847.47368421052636</v>
          </cell>
          <cell r="AY17">
            <v>1260.2105263157896</v>
          </cell>
        </row>
        <row r="20">
          <cell r="U20">
            <v>0.48</v>
          </cell>
          <cell r="AY20">
            <v>0.72</v>
          </cell>
        </row>
      </sheetData>
      <sheetData sheetId="58">
        <row r="33">
          <cell r="AS33">
            <v>1032.2894736842104</v>
          </cell>
        </row>
        <row r="36">
          <cell r="AS36">
            <v>0.59</v>
          </cell>
        </row>
        <row r="46">
          <cell r="AS46">
            <v>1134.578947368421</v>
          </cell>
        </row>
        <row r="49">
          <cell r="AS49">
            <v>0.65</v>
          </cell>
        </row>
      </sheetData>
      <sheetData sheetId="59">
        <row r="23">
          <cell r="E23">
            <v>481.39473684210526</v>
          </cell>
        </row>
        <row r="26">
          <cell r="E26">
            <v>0.27</v>
          </cell>
        </row>
        <row r="65">
          <cell r="AW65">
            <v>526.1052631578948</v>
          </cell>
        </row>
        <row r="68">
          <cell r="AW68">
            <v>0.28999999999999998</v>
          </cell>
        </row>
      </sheetData>
      <sheetData sheetId="60">
        <row r="19">
          <cell r="AW19">
            <v>843.86842105263156</v>
          </cell>
        </row>
        <row r="22">
          <cell r="AW22">
            <v>0.47</v>
          </cell>
        </row>
        <row r="64">
          <cell r="D64">
            <v>695.63157894736844</v>
          </cell>
        </row>
        <row r="67">
          <cell r="D67">
            <v>0.39</v>
          </cell>
        </row>
      </sheetData>
      <sheetData sheetId="61">
        <row r="23">
          <cell r="E23">
            <v>230.86842105263159</v>
          </cell>
        </row>
        <row r="26">
          <cell r="E26">
            <v>0.13</v>
          </cell>
        </row>
        <row r="65">
          <cell r="AW65">
            <v>236.63157894736844</v>
          </cell>
        </row>
        <row r="68">
          <cell r="AW68">
            <v>0.13</v>
          </cell>
        </row>
      </sheetData>
      <sheetData sheetId="62">
        <row r="19">
          <cell r="AW19">
            <v>1058.6052631578948</v>
          </cell>
        </row>
        <row r="22">
          <cell r="AW22">
            <v>0.59</v>
          </cell>
        </row>
        <row r="64">
          <cell r="D64">
            <v>1173.8947368421052</v>
          </cell>
        </row>
        <row r="67">
          <cell r="D67">
            <v>0.65</v>
          </cell>
        </row>
      </sheetData>
      <sheetData sheetId="63">
        <row r="18">
          <cell r="AP18">
            <v>543.8947368421052</v>
          </cell>
        </row>
        <row r="21">
          <cell r="AP21">
            <v>0.3</v>
          </cell>
        </row>
        <row r="33">
          <cell r="AP33">
            <v>1838.6315789473686</v>
          </cell>
        </row>
        <row r="36">
          <cell r="AP36">
            <v>1.02</v>
          </cell>
        </row>
        <row r="50">
          <cell r="AP50">
            <v>1657.6842105263158</v>
          </cell>
        </row>
        <row r="53">
          <cell r="AP53">
            <v>0.92</v>
          </cell>
        </row>
        <row r="64">
          <cell r="AP64">
            <v>492.73684210526318</v>
          </cell>
        </row>
        <row r="67">
          <cell r="AP67">
            <v>0.27</v>
          </cell>
        </row>
      </sheetData>
      <sheetData sheetId="64">
        <row r="17">
          <cell r="F17">
            <v>939.6052631578948</v>
          </cell>
          <cell r="T17">
            <v>650.13157894736844</v>
          </cell>
          <cell r="BA17">
            <v>979.86842105263156</v>
          </cell>
          <cell r="BO17">
            <v>883.3947368421052</v>
          </cell>
        </row>
        <row r="20">
          <cell r="F20">
            <v>0.52</v>
          </cell>
          <cell r="T20">
            <v>0.36</v>
          </cell>
          <cell r="BA20">
            <v>0.54</v>
          </cell>
          <cell r="BO20">
            <v>0.49</v>
          </cell>
        </row>
      </sheetData>
      <sheetData sheetId="65">
        <row r="24">
          <cell r="AW24">
            <v>543.8947368421052</v>
          </cell>
        </row>
        <row r="27">
          <cell r="AW27">
            <v>0.3</v>
          </cell>
        </row>
        <row r="31">
          <cell r="E31">
            <v>429.5</v>
          </cell>
        </row>
        <row r="34">
          <cell r="E34">
            <v>0.24</v>
          </cell>
        </row>
        <row r="36">
          <cell r="AW36">
            <v>481.39473684210526</v>
          </cell>
        </row>
        <row r="39">
          <cell r="AW39">
            <v>0.27</v>
          </cell>
        </row>
        <row r="47">
          <cell r="E47">
            <v>526.1052631578948</v>
          </cell>
        </row>
        <row r="50">
          <cell r="E50">
            <v>0.28999999999999998</v>
          </cell>
        </row>
        <row r="53">
          <cell r="AW53">
            <v>482</v>
          </cell>
        </row>
        <row r="56">
          <cell r="AW56">
            <v>0.27</v>
          </cell>
        </row>
        <row r="60">
          <cell r="E60">
            <v>492.73684210526318</v>
          </cell>
        </row>
        <row r="63">
          <cell r="E63">
            <v>0.27</v>
          </cell>
        </row>
      </sheetData>
      <sheetData sheetId="66">
        <row r="17">
          <cell r="D17">
            <v>677.5</v>
          </cell>
          <cell r="Q17">
            <v>1280.5</v>
          </cell>
          <cell r="AD17">
            <v>695.63157894736844</v>
          </cell>
          <cell r="AQ17">
            <v>843.86842105263156</v>
          </cell>
          <cell r="BD17">
            <v>1262</v>
          </cell>
          <cell r="BQ17">
            <v>736.08823529411768</v>
          </cell>
        </row>
        <row r="20">
          <cell r="D20">
            <v>0.38</v>
          </cell>
          <cell r="Q20">
            <v>0.71</v>
          </cell>
          <cell r="AD20">
            <v>0.39</v>
          </cell>
          <cell r="AQ20">
            <v>0.47</v>
          </cell>
          <cell r="BD20">
            <v>0.7</v>
          </cell>
          <cell r="BQ20">
            <v>0.41</v>
          </cell>
        </row>
      </sheetData>
      <sheetData sheetId="67">
        <row r="21">
          <cell r="F21">
            <v>664</v>
          </cell>
        </row>
        <row r="24">
          <cell r="F24">
            <v>0.38</v>
          </cell>
        </row>
        <row r="59">
          <cell r="AU59">
            <v>600</v>
          </cell>
        </row>
        <row r="62">
          <cell r="AU62">
            <v>0.34</v>
          </cell>
        </row>
      </sheetData>
      <sheetData sheetId="68">
        <row r="18">
          <cell r="L18">
            <v>928</v>
          </cell>
          <cell r="BH18">
            <v>1100</v>
          </cell>
        </row>
        <row r="21">
          <cell r="L21">
            <v>0.53</v>
          </cell>
          <cell r="BH21">
            <v>0.63</v>
          </cell>
        </row>
      </sheetData>
      <sheetData sheetId="69">
        <row r="26">
          <cell r="AR26">
            <v>571.88235294117646</v>
          </cell>
        </row>
        <row r="29">
          <cell r="AR29">
            <v>0.32</v>
          </cell>
        </row>
        <row r="40">
          <cell r="AR40">
            <v>618.26315789473688</v>
          </cell>
        </row>
        <row r="43">
          <cell r="AR43">
            <v>0.36</v>
          </cell>
        </row>
        <row r="54">
          <cell r="AR54">
            <v>518</v>
          </cell>
        </row>
        <row r="57">
          <cell r="AR57">
            <v>0.28999999999999998</v>
          </cell>
        </row>
      </sheetData>
      <sheetData sheetId="70">
        <row r="17">
          <cell r="T17">
            <v>677.5</v>
          </cell>
          <cell r="AJ17">
            <v>1031.7631578947369</v>
          </cell>
          <cell r="AZ17">
            <v>736.08823529411768</v>
          </cell>
        </row>
        <row r="20">
          <cell r="T20">
            <v>0.38</v>
          </cell>
          <cell r="AJ20">
            <v>0.61</v>
          </cell>
          <cell r="AZ20">
            <v>0.41</v>
          </cell>
        </row>
      </sheetData>
      <sheetData sheetId="71" refreshError="1"/>
      <sheetData sheetId="72">
        <row r="29">
          <cell r="CN29">
            <v>0.26007016630601454</v>
          </cell>
        </row>
        <row r="32">
          <cell r="CX32">
            <v>0.45853138737107557</v>
          </cell>
        </row>
        <row r="42">
          <cell r="CL42">
            <v>0.36763780587562511</v>
          </cell>
        </row>
        <row r="45">
          <cell r="CY45">
            <v>0.39044234049343701</v>
          </cell>
        </row>
      </sheetData>
      <sheetData sheetId="73">
        <row r="29">
          <cell r="CN29">
            <v>0.29622987216886193</v>
          </cell>
        </row>
        <row r="32">
          <cell r="CX32">
            <v>1.8665957989809578</v>
          </cell>
        </row>
        <row r="42">
          <cell r="CL42">
            <v>1.6186690479636423</v>
          </cell>
        </row>
        <row r="45">
          <cell r="CY45">
            <v>0.81273993088687047</v>
          </cell>
        </row>
      </sheetData>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Disclaimer"/>
      <sheetName val="Project Information"/>
      <sheetName val="Definitions"/>
      <sheetName val="Control Strategy Selection"/>
      <sheetName val="At-Grade Inputs"/>
      <sheetName val="Ramp-Terminal Inputs"/>
      <sheetName val="RTI_Ranges"/>
      <sheetName val="ExistingData"/>
      <sheetName val="Calibration"/>
      <sheetName val="Results"/>
      <sheetName val="ResultsRTI"/>
      <sheetName val="Notes"/>
      <sheetName val="User Selections"/>
      <sheetName val="Labels"/>
      <sheetName val="CalibrationDefaults"/>
      <sheetName val="Instructions"/>
      <sheetName val="Changelog"/>
    </sheetNames>
    <sheetDataSet>
      <sheetData sheetId="0"/>
      <sheetData sheetId="1"/>
      <sheetData sheetId="2"/>
      <sheetData sheetId="3"/>
      <sheetData sheetId="4">
        <row r="4">
          <cell r="O4" t="str">
            <v>3Leg</v>
          </cell>
          <cell r="P4">
            <v>675</v>
          </cell>
          <cell r="Q4">
            <v>17369</v>
          </cell>
          <cell r="R4">
            <v>409</v>
          </cell>
          <cell r="S4">
            <v>14000</v>
          </cell>
        </row>
        <row r="5">
          <cell r="I5" t="str">
            <v>3ST</v>
          </cell>
          <cell r="J5">
            <v>0</v>
          </cell>
          <cell r="K5">
            <v>19500</v>
          </cell>
          <cell r="L5">
            <v>0</v>
          </cell>
          <cell r="M5">
            <v>4300</v>
          </cell>
          <cell r="O5" t="str">
            <v>4Leg</v>
          </cell>
          <cell r="P5">
            <v>1000</v>
          </cell>
          <cell r="Q5">
            <v>19733</v>
          </cell>
          <cell r="R5">
            <v>280</v>
          </cell>
          <cell r="S5">
            <v>11239</v>
          </cell>
        </row>
        <row r="6">
          <cell r="I6" t="str">
            <v>4ST</v>
          </cell>
          <cell r="J6">
            <v>0</v>
          </cell>
          <cell r="K6">
            <v>14700</v>
          </cell>
          <cell r="L6">
            <v>0</v>
          </cell>
          <cell r="M6">
            <v>3500</v>
          </cell>
        </row>
        <row r="7">
          <cell r="I7" t="str">
            <v>3SG</v>
          </cell>
          <cell r="J7">
            <v>0</v>
          </cell>
          <cell r="K7">
            <v>23591</v>
          </cell>
          <cell r="L7">
            <v>0</v>
          </cell>
          <cell r="M7">
            <v>23320</v>
          </cell>
          <cell r="O7" t="str">
            <v>3Leg</v>
          </cell>
          <cell r="P7">
            <v>1000</v>
          </cell>
          <cell r="Q7">
            <v>22050</v>
          </cell>
          <cell r="R7">
            <v>476</v>
          </cell>
          <cell r="S7">
            <v>15108</v>
          </cell>
        </row>
        <row r="8">
          <cell r="I8" t="str">
            <v>4SG</v>
          </cell>
          <cell r="J8">
            <v>0</v>
          </cell>
          <cell r="K8">
            <v>25200</v>
          </cell>
          <cell r="L8">
            <v>0</v>
          </cell>
          <cell r="M8">
            <v>12500</v>
          </cell>
          <cell r="O8" t="str">
            <v>4Leg</v>
          </cell>
          <cell r="P8">
            <v>1000</v>
          </cell>
          <cell r="Q8">
            <v>28333</v>
          </cell>
          <cell r="R8">
            <v>390</v>
          </cell>
          <cell r="S8">
            <v>19371</v>
          </cell>
        </row>
        <row r="9">
          <cell r="I9" t="str">
            <v>3AWST</v>
          </cell>
          <cell r="J9" t="str">
            <v>-</v>
          </cell>
          <cell r="K9" t="str">
            <v>-</v>
          </cell>
          <cell r="L9" t="str">
            <v>-</v>
          </cell>
          <cell r="M9" t="str">
            <v>-</v>
          </cell>
        </row>
        <row r="10">
          <cell r="I10" t="str">
            <v>4AWST</v>
          </cell>
          <cell r="J10">
            <v>0</v>
          </cell>
          <cell r="K10">
            <v>12983</v>
          </cell>
          <cell r="L10">
            <v>0</v>
          </cell>
          <cell r="M10">
            <v>9985</v>
          </cell>
        </row>
        <row r="14">
          <cell r="I14" t="str">
            <v>3ST</v>
          </cell>
          <cell r="J14">
            <v>0</v>
          </cell>
          <cell r="K14">
            <v>78300</v>
          </cell>
          <cell r="L14">
            <v>0</v>
          </cell>
          <cell r="M14">
            <v>23000</v>
          </cell>
        </row>
        <row r="15">
          <cell r="I15" t="str">
            <v>4ST</v>
          </cell>
          <cell r="J15">
            <v>0</v>
          </cell>
          <cell r="K15">
            <v>78300</v>
          </cell>
          <cell r="L15">
            <v>0</v>
          </cell>
          <cell r="M15">
            <v>7400</v>
          </cell>
        </row>
        <row r="16">
          <cell r="I16" t="str">
            <v>3SG</v>
          </cell>
          <cell r="J16">
            <v>0</v>
          </cell>
          <cell r="K16">
            <v>56000</v>
          </cell>
          <cell r="L16">
            <v>0</v>
          </cell>
          <cell r="M16">
            <v>27000</v>
          </cell>
        </row>
        <row r="17">
          <cell r="I17" t="str">
            <v>4SG</v>
          </cell>
          <cell r="J17">
            <v>0</v>
          </cell>
          <cell r="K17">
            <v>43500</v>
          </cell>
          <cell r="L17">
            <v>0</v>
          </cell>
          <cell r="M17">
            <v>18500</v>
          </cell>
        </row>
        <row r="18">
          <cell r="I18" t="str">
            <v>3AWST</v>
          </cell>
          <cell r="J18" t="str">
            <v>-</v>
          </cell>
          <cell r="K18" t="str">
            <v>-</v>
          </cell>
          <cell r="L18" t="str">
            <v>-</v>
          </cell>
          <cell r="M18" t="str">
            <v>-</v>
          </cell>
        </row>
        <row r="19">
          <cell r="I19" t="str">
            <v>4AWST</v>
          </cell>
          <cell r="J19" t="str">
            <v>-</v>
          </cell>
          <cell r="K19" t="str">
            <v>-</v>
          </cell>
          <cell r="L19" t="str">
            <v>-</v>
          </cell>
          <cell r="M19" t="str">
            <v>-</v>
          </cell>
        </row>
        <row r="23">
          <cell r="I23" t="str">
            <v>3ST</v>
          </cell>
          <cell r="J23">
            <v>0</v>
          </cell>
          <cell r="K23">
            <v>45700</v>
          </cell>
          <cell r="L23">
            <v>0</v>
          </cell>
          <cell r="M23">
            <v>9300</v>
          </cell>
        </row>
        <row r="24">
          <cell r="I24" t="str">
            <v>4ST</v>
          </cell>
          <cell r="J24">
            <v>0</v>
          </cell>
          <cell r="K24">
            <v>46800</v>
          </cell>
          <cell r="L24">
            <v>0</v>
          </cell>
          <cell r="M24">
            <v>5900</v>
          </cell>
        </row>
        <row r="25">
          <cell r="I25" t="str">
            <v>3SG</v>
          </cell>
          <cell r="J25">
            <v>0</v>
          </cell>
          <cell r="K25">
            <v>58100</v>
          </cell>
          <cell r="L25">
            <v>0</v>
          </cell>
          <cell r="M25">
            <v>16400</v>
          </cell>
        </row>
        <row r="26">
          <cell r="I26" t="str">
            <v>4SG</v>
          </cell>
          <cell r="J26">
            <v>0</v>
          </cell>
          <cell r="K26">
            <v>67700</v>
          </cell>
          <cell r="L26">
            <v>0</v>
          </cell>
          <cell r="M26">
            <v>33400</v>
          </cell>
        </row>
        <row r="27">
          <cell r="I27" t="str">
            <v>3AWST</v>
          </cell>
          <cell r="J27">
            <v>0</v>
          </cell>
          <cell r="K27">
            <v>20131</v>
          </cell>
          <cell r="L27">
            <v>0</v>
          </cell>
          <cell r="M27">
            <v>11000</v>
          </cell>
        </row>
        <row r="28">
          <cell r="I28" t="str">
            <v>4AWST</v>
          </cell>
          <cell r="J28">
            <v>0</v>
          </cell>
          <cell r="K28">
            <v>12955</v>
          </cell>
          <cell r="L28">
            <v>0</v>
          </cell>
          <cell r="M28">
            <v>11982</v>
          </cell>
        </row>
        <row r="30">
          <cell r="I30" t="str">
            <v>3ST</v>
          </cell>
          <cell r="J30">
            <v>0</v>
          </cell>
          <cell r="K30">
            <v>66800</v>
          </cell>
          <cell r="L30">
            <v>0</v>
          </cell>
          <cell r="M30">
            <v>8600</v>
          </cell>
        </row>
        <row r="31">
          <cell r="I31" t="str">
            <v>4ST</v>
          </cell>
          <cell r="J31">
            <v>0</v>
          </cell>
          <cell r="K31">
            <v>54600</v>
          </cell>
          <cell r="L31">
            <v>0</v>
          </cell>
          <cell r="M31">
            <v>4600</v>
          </cell>
        </row>
        <row r="32">
          <cell r="I32" t="str">
            <v>3SG</v>
          </cell>
          <cell r="J32">
            <v>0</v>
          </cell>
          <cell r="K32">
            <v>94000</v>
          </cell>
          <cell r="L32">
            <v>0</v>
          </cell>
          <cell r="M32">
            <v>31000</v>
          </cell>
        </row>
        <row r="33">
          <cell r="I33" t="str">
            <v>4SG</v>
          </cell>
          <cell r="J33">
            <v>0</v>
          </cell>
          <cell r="K33">
            <v>137600</v>
          </cell>
          <cell r="L33">
            <v>0</v>
          </cell>
          <cell r="M33">
            <v>68400</v>
          </cell>
        </row>
        <row r="34">
          <cell r="I34" t="str">
            <v>3AWST</v>
          </cell>
          <cell r="J34" t="str">
            <v>-</v>
          </cell>
          <cell r="K34" t="str">
            <v>-</v>
          </cell>
          <cell r="L34" t="str">
            <v>-</v>
          </cell>
          <cell r="M34" t="str">
            <v>-</v>
          </cell>
        </row>
        <row r="35">
          <cell r="I35" t="str">
            <v>4AWST</v>
          </cell>
          <cell r="J35" t="str">
            <v>-</v>
          </cell>
          <cell r="K35" t="str">
            <v>-</v>
          </cell>
          <cell r="L35" t="str">
            <v>-</v>
          </cell>
          <cell r="M35" t="str">
            <v>-</v>
          </cell>
        </row>
        <row r="38">
          <cell r="I38" t="str">
            <v>3ST</v>
          </cell>
          <cell r="J38">
            <v>0</v>
          </cell>
          <cell r="K38">
            <v>42700</v>
          </cell>
          <cell r="L38">
            <v>0</v>
          </cell>
          <cell r="M38">
            <v>13400</v>
          </cell>
        </row>
        <row r="39">
          <cell r="I39" t="str">
            <v>4ST</v>
          </cell>
          <cell r="J39">
            <v>0</v>
          </cell>
          <cell r="K39">
            <v>23400</v>
          </cell>
          <cell r="L39">
            <v>0</v>
          </cell>
          <cell r="M39">
            <v>19200</v>
          </cell>
        </row>
        <row r="40">
          <cell r="I40" t="str">
            <v>3SG</v>
          </cell>
          <cell r="J40">
            <v>0</v>
          </cell>
          <cell r="K40">
            <v>43800</v>
          </cell>
          <cell r="L40">
            <v>0</v>
          </cell>
          <cell r="M40">
            <v>58800</v>
          </cell>
        </row>
        <row r="41">
          <cell r="I41" t="str">
            <v>4SG</v>
          </cell>
          <cell r="J41">
            <v>0</v>
          </cell>
          <cell r="K41">
            <v>77000</v>
          </cell>
          <cell r="L41">
            <v>0</v>
          </cell>
          <cell r="M41">
            <v>98900</v>
          </cell>
        </row>
        <row r="42">
          <cell r="I42" t="str">
            <v>3AWST</v>
          </cell>
          <cell r="J42" t="str">
            <v>-</v>
          </cell>
          <cell r="K42" t="str">
            <v>-</v>
          </cell>
          <cell r="L42" t="str">
            <v>-</v>
          </cell>
          <cell r="M42" t="str">
            <v>-</v>
          </cell>
        </row>
        <row r="43">
          <cell r="I43" t="str">
            <v>4AWST</v>
          </cell>
          <cell r="J43" t="str">
            <v>-</v>
          </cell>
          <cell r="K43" t="str">
            <v>-</v>
          </cell>
          <cell r="L43" t="str">
            <v>-</v>
          </cell>
          <cell r="M43" t="str">
            <v>-</v>
          </cell>
        </row>
        <row r="45">
          <cell r="I45" t="str">
            <v>3ST</v>
          </cell>
          <cell r="J45">
            <v>0</v>
          </cell>
          <cell r="K45">
            <v>16900</v>
          </cell>
          <cell r="L45">
            <v>0</v>
          </cell>
          <cell r="M45">
            <v>11100</v>
          </cell>
        </row>
        <row r="46">
          <cell r="I46" t="str">
            <v>4ST</v>
          </cell>
          <cell r="J46">
            <v>0</v>
          </cell>
          <cell r="K46">
            <v>11000</v>
          </cell>
          <cell r="L46">
            <v>0</v>
          </cell>
          <cell r="M46">
            <v>6800</v>
          </cell>
        </row>
        <row r="47">
          <cell r="I47" t="str">
            <v>3SG</v>
          </cell>
          <cell r="J47">
            <v>0</v>
          </cell>
          <cell r="K47">
            <v>20100</v>
          </cell>
          <cell r="L47">
            <v>0</v>
          </cell>
          <cell r="M47">
            <v>7500</v>
          </cell>
        </row>
        <row r="48">
          <cell r="I48" t="str">
            <v>4SG</v>
          </cell>
          <cell r="J48">
            <v>0</v>
          </cell>
          <cell r="K48">
            <v>24300</v>
          </cell>
          <cell r="L48">
            <v>0</v>
          </cell>
          <cell r="M48">
            <v>16900</v>
          </cell>
        </row>
        <row r="49">
          <cell r="I49" t="str">
            <v>3AWST</v>
          </cell>
          <cell r="J49" t="str">
            <v>-</v>
          </cell>
          <cell r="K49" t="str">
            <v>-</v>
          </cell>
          <cell r="L49" t="str">
            <v>-</v>
          </cell>
          <cell r="M49" t="str">
            <v>-</v>
          </cell>
        </row>
        <row r="50">
          <cell r="I50" t="str">
            <v>4AWST</v>
          </cell>
          <cell r="J50" t="str">
            <v>-</v>
          </cell>
          <cell r="K50" t="str">
            <v>-</v>
          </cell>
          <cell r="L50" t="str">
            <v>-</v>
          </cell>
          <cell r="M50" t="str">
            <v>-</v>
          </cell>
        </row>
        <row r="53">
          <cell r="I53" t="str">
            <v>3ST</v>
          </cell>
          <cell r="J53">
            <v>0</v>
          </cell>
          <cell r="K53">
            <v>58594</v>
          </cell>
          <cell r="L53">
            <v>0</v>
          </cell>
          <cell r="M53">
            <v>11335</v>
          </cell>
        </row>
        <row r="54">
          <cell r="I54" t="str">
            <v>4ST</v>
          </cell>
          <cell r="J54">
            <v>0</v>
          </cell>
          <cell r="K54">
            <v>59000</v>
          </cell>
          <cell r="L54">
            <v>0</v>
          </cell>
          <cell r="M54">
            <v>29800</v>
          </cell>
        </row>
        <row r="55">
          <cell r="I55" t="str">
            <v>3SG</v>
          </cell>
          <cell r="J55">
            <v>0</v>
          </cell>
          <cell r="K55">
            <v>47200</v>
          </cell>
          <cell r="L55">
            <v>0</v>
          </cell>
          <cell r="M55">
            <v>11282</v>
          </cell>
        </row>
        <row r="56">
          <cell r="I56" t="str">
            <v>4SG</v>
          </cell>
          <cell r="J56">
            <v>0</v>
          </cell>
          <cell r="K56">
            <v>59800</v>
          </cell>
          <cell r="L56">
            <v>0</v>
          </cell>
          <cell r="M56">
            <v>30029</v>
          </cell>
        </row>
        <row r="57">
          <cell r="I57" t="str">
            <v>3AWST</v>
          </cell>
          <cell r="J57" t="str">
            <v>-</v>
          </cell>
          <cell r="K57" t="str">
            <v>-</v>
          </cell>
          <cell r="L57" t="str">
            <v>-</v>
          </cell>
          <cell r="M57" t="str">
            <v>-</v>
          </cell>
        </row>
        <row r="58">
          <cell r="I58" t="str">
            <v>4AWST</v>
          </cell>
          <cell r="J58" t="str">
            <v>-</v>
          </cell>
          <cell r="K58" t="str">
            <v>-</v>
          </cell>
          <cell r="L58" t="str">
            <v>-</v>
          </cell>
          <cell r="M58" t="str">
            <v>-</v>
          </cell>
        </row>
      </sheetData>
      <sheetData sheetId="5">
        <row r="4">
          <cell r="D4" t="str">
            <v>Opening and Design Year</v>
          </cell>
        </row>
        <row r="7">
          <cell r="D7" t="str">
            <v>On Urban and Suburban Arterial</v>
          </cell>
        </row>
        <row r="9">
          <cell r="D9" t="str">
            <v>3-leg</v>
          </cell>
        </row>
        <row r="10">
          <cell r="D10" t="str">
            <v>2-way Intersecting 2-way</v>
          </cell>
        </row>
        <row r="11">
          <cell r="D11" t="str">
            <v>5 or fewer</v>
          </cell>
        </row>
        <row r="12">
          <cell r="D12" t="str">
            <v>Less than 55 mph</v>
          </cell>
        </row>
        <row r="19">
          <cell r="B19" t="str">
            <v>Yes</v>
          </cell>
        </row>
        <row r="21">
          <cell r="B21" t="str">
            <v>Yes</v>
          </cell>
        </row>
        <row r="22">
          <cell r="B22" t="str">
            <v>No</v>
          </cell>
        </row>
        <row r="23">
          <cell r="B23" t="str">
            <v>Yes</v>
          </cell>
        </row>
        <row r="24">
          <cell r="B24" t="str">
            <v>Yes</v>
          </cell>
        </row>
        <row r="31">
          <cell r="B31" t="str">
            <v>No</v>
          </cell>
        </row>
        <row r="32">
          <cell r="B32" t="str">
            <v>No</v>
          </cell>
        </row>
        <row r="45">
          <cell r="D45" t="str">
            <v>Rural</v>
          </cell>
        </row>
        <row r="48">
          <cell r="D48">
            <v>10000</v>
          </cell>
          <cell r="E48">
            <v>10000</v>
          </cell>
        </row>
        <row r="49">
          <cell r="D49">
            <v>10000</v>
          </cell>
          <cell r="E49">
            <v>10000</v>
          </cell>
        </row>
        <row r="50">
          <cell r="D50">
            <v>2000</v>
          </cell>
          <cell r="E50">
            <v>2000</v>
          </cell>
        </row>
        <row r="51">
          <cell r="D51">
            <v>2000</v>
          </cell>
          <cell r="E51">
            <v>2000</v>
          </cell>
        </row>
        <row r="53">
          <cell r="D53">
            <v>20000</v>
          </cell>
          <cell r="E53">
            <v>20000</v>
          </cell>
        </row>
        <row r="54">
          <cell r="D54">
            <v>20000</v>
          </cell>
          <cell r="E54">
            <v>20000</v>
          </cell>
        </row>
        <row r="55">
          <cell r="D55">
            <v>3500</v>
          </cell>
          <cell r="E55">
            <v>3500</v>
          </cell>
        </row>
        <row r="56">
          <cell r="D56">
            <v>3500</v>
          </cell>
          <cell r="E56">
            <v>3500</v>
          </cell>
        </row>
        <row r="61">
          <cell r="A61" t="str">
            <v>Conventional Traffic Signal</v>
          </cell>
        </row>
        <row r="62">
          <cell r="A62" t="str">
            <v>Conventional Traffic Signal (Alt)</v>
          </cell>
        </row>
        <row r="63">
          <cell r="A63" t="str">
            <v>Crossover Traffic Signal (of DDI)</v>
          </cell>
        </row>
        <row r="64">
          <cell r="A64" t="str">
            <v>Single-Point Diamond Traffic Signal</v>
          </cell>
        </row>
        <row r="65">
          <cell r="A65" t="str">
            <v>Minor Road (ramp) Stop</v>
          </cell>
        </row>
        <row r="66">
          <cell r="A66" t="str">
            <v>1-lane Roundabout (No SPF/CMF Available)</v>
          </cell>
          <cell r="B66" t="str">
            <v>Yes</v>
          </cell>
          <cell r="D66" t="str">
            <v>Conventional Traffic Signal</v>
          </cell>
        </row>
        <row r="67">
          <cell r="A67" t="str">
            <v>2-lane Roundabout (No SPF/CMF Available)</v>
          </cell>
          <cell r="B67" t="str">
            <v>Yes</v>
          </cell>
        </row>
        <row r="68">
          <cell r="A68" t="str">
            <v>Other 1</v>
          </cell>
          <cell r="B68" t="str">
            <v>Yes</v>
          </cell>
        </row>
        <row r="69">
          <cell r="A69" t="str">
            <v>Other 2</v>
          </cell>
          <cell r="B69" t="str">
            <v>Yes</v>
          </cell>
        </row>
      </sheetData>
      <sheetData sheetId="6">
        <row r="28">
          <cell r="D28" t="str">
            <v>Low (20)</v>
          </cell>
          <cell r="F28" t="str">
            <v>Low (20)</v>
          </cell>
        </row>
        <row r="31">
          <cell r="D31">
            <v>0</v>
          </cell>
        </row>
        <row r="32">
          <cell r="D32" t="str">
            <v>No</v>
          </cell>
        </row>
        <row r="33">
          <cell r="D33">
            <v>0</v>
          </cell>
        </row>
        <row r="37">
          <cell r="L37">
            <v>0</v>
          </cell>
          <cell r="N37">
            <v>0</v>
          </cell>
        </row>
        <row r="51">
          <cell r="L51">
            <v>0</v>
          </cell>
          <cell r="N51">
            <v>0</v>
          </cell>
        </row>
      </sheetData>
      <sheetData sheetId="7">
        <row r="15">
          <cell r="B15">
            <v>4</v>
          </cell>
          <cell r="C15">
            <v>4</v>
          </cell>
          <cell r="D15">
            <v>4</v>
          </cell>
          <cell r="E15">
            <v>4</v>
          </cell>
        </row>
        <row r="16">
          <cell r="B16">
            <v>2</v>
          </cell>
          <cell r="C16">
            <v>2</v>
          </cell>
          <cell r="D16">
            <v>2</v>
          </cell>
          <cell r="E16">
            <v>2</v>
          </cell>
        </row>
      </sheetData>
      <sheetData sheetId="8"/>
      <sheetData sheetId="9"/>
      <sheetData sheetId="10"/>
      <sheetData sheetId="11"/>
      <sheetData sheetId="12"/>
      <sheetData sheetId="13"/>
      <sheetData sheetId="14">
        <row r="3">
          <cell r="B3" t="b">
            <v>1</v>
          </cell>
        </row>
        <row r="4">
          <cell r="B4" t="b">
            <v>1</v>
          </cell>
        </row>
        <row r="5">
          <cell r="B5" t="b">
            <v>1</v>
          </cell>
        </row>
        <row r="6">
          <cell r="B6" t="b">
            <v>0</v>
          </cell>
        </row>
        <row r="7">
          <cell r="B7" t="b">
            <v>1</v>
          </cell>
        </row>
        <row r="8">
          <cell r="B8" t="b">
            <v>1</v>
          </cell>
        </row>
        <row r="9">
          <cell r="B9" t="b">
            <v>1</v>
          </cell>
        </row>
        <row r="10">
          <cell r="B10" t="b">
            <v>1</v>
          </cell>
        </row>
        <row r="11">
          <cell r="B11" t="b">
            <v>1</v>
          </cell>
        </row>
        <row r="12">
          <cell r="B12" t="b">
            <v>1</v>
          </cell>
        </row>
        <row r="13">
          <cell r="B13" t="b">
            <v>1</v>
          </cell>
        </row>
        <row r="14">
          <cell r="B14" t="b">
            <v>0</v>
          </cell>
        </row>
        <row r="15">
          <cell r="B15" t="b">
            <v>0</v>
          </cell>
        </row>
        <row r="16">
          <cell r="B16" t="b">
            <v>0</v>
          </cell>
        </row>
        <row r="21">
          <cell r="B21" t="b">
            <v>1</v>
          </cell>
        </row>
        <row r="22">
          <cell r="B22" t="b">
            <v>1</v>
          </cell>
        </row>
        <row r="25">
          <cell r="B25" t="b">
            <v>1</v>
          </cell>
        </row>
      </sheetData>
      <sheetData sheetId="15">
        <row r="5">
          <cell r="A5" t="str">
            <v>Traffic Signal</v>
          </cell>
        </row>
        <row r="6">
          <cell r="A6" t="str">
            <v>Minor Road Stop</v>
          </cell>
        </row>
        <row r="7">
          <cell r="A7" t="str">
            <v>All Way Stop</v>
          </cell>
        </row>
        <row r="8">
          <cell r="A8" t="str">
            <v>1-lane Roundabout</v>
          </cell>
        </row>
        <row r="9">
          <cell r="A9" t="str">
            <v>2-lane Roundabout</v>
          </cell>
        </row>
        <row r="10">
          <cell r="A10" t="str">
            <v>Displaced Left-Turn (DLT)</v>
          </cell>
        </row>
        <row r="11">
          <cell r="A11" t="str">
            <v>Median U-Turn (MUT)</v>
          </cell>
        </row>
        <row r="12">
          <cell r="A12" t="str">
            <v>Signalized RCUT</v>
          </cell>
        </row>
        <row r="13">
          <cell r="A13" t="str">
            <v>Unsignalized RCUT</v>
          </cell>
        </row>
        <row r="14">
          <cell r="A14" t="str">
            <v>Continuous Green-T (CGT) Intersection</v>
          </cell>
        </row>
        <row r="15">
          <cell r="A15" t="str">
            <v>Jughandle</v>
          </cell>
        </row>
        <row r="34">
          <cell r="A34" t="str">
            <v>On Rural 2-Lane Highway</v>
          </cell>
        </row>
        <row r="35">
          <cell r="A35" t="str">
            <v>On Rural Multilane Highway</v>
          </cell>
        </row>
        <row r="36">
          <cell r="A36" t="str">
            <v>On Urban and Suburban Arterial</v>
          </cell>
        </row>
        <row r="46">
          <cell r="A46" t="str">
            <v>Opening and Design Year</v>
          </cell>
        </row>
      </sheetData>
      <sheetData sheetId="16"/>
      <sheetData sheetId="17"/>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ne Leg One Stage"/>
      <sheetName val="One Leg Two Stages"/>
      <sheetName val="Two Legs Two Stages"/>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RowColHeaders="0" tabSelected="1" zoomScaleNormal="100" workbookViewId="0">
      <selection activeCell="P11" sqref="P11"/>
    </sheetView>
  </sheetViews>
  <sheetFormatPr defaultColWidth="8.85546875" defaultRowHeight="12.75" x14ac:dyDescent="0.2"/>
  <cols>
    <col min="1" max="1" width="3.42578125" style="159" customWidth="1"/>
    <col min="2" max="2" width="12" style="159" customWidth="1"/>
    <col min="3" max="12" width="8.85546875" style="159"/>
    <col min="13" max="13" width="12.140625" style="159" customWidth="1"/>
    <col min="14" max="24" width="8.85546875" style="159"/>
    <col min="25" max="256" width="8.85546875" style="160"/>
    <col min="257" max="257" width="3.42578125" style="160" customWidth="1"/>
    <col min="258" max="512" width="8.85546875" style="160"/>
    <col min="513" max="513" width="3.42578125" style="160" customWidth="1"/>
    <col min="514" max="768" width="8.85546875" style="160"/>
    <col min="769" max="769" width="3.42578125" style="160" customWidth="1"/>
    <col min="770" max="1024" width="8.85546875" style="160"/>
    <col min="1025" max="1025" width="3.42578125" style="160" customWidth="1"/>
    <col min="1026" max="1280" width="8.85546875" style="160"/>
    <col min="1281" max="1281" width="3.42578125" style="160" customWidth="1"/>
    <col min="1282" max="1536" width="8.85546875" style="160"/>
    <col min="1537" max="1537" width="3.42578125" style="160" customWidth="1"/>
    <col min="1538" max="1792" width="8.85546875" style="160"/>
    <col min="1793" max="1793" width="3.42578125" style="160" customWidth="1"/>
    <col min="1794" max="2048" width="8.85546875" style="160"/>
    <col min="2049" max="2049" width="3.42578125" style="160" customWidth="1"/>
    <col min="2050" max="2304" width="8.85546875" style="160"/>
    <col min="2305" max="2305" width="3.42578125" style="160" customWidth="1"/>
    <col min="2306" max="2560" width="8.85546875" style="160"/>
    <col min="2561" max="2561" width="3.42578125" style="160" customWidth="1"/>
    <col min="2562" max="2816" width="8.85546875" style="160"/>
    <col min="2817" max="2817" width="3.42578125" style="160" customWidth="1"/>
    <col min="2818" max="3072" width="8.85546875" style="160"/>
    <col min="3073" max="3073" width="3.42578125" style="160" customWidth="1"/>
    <col min="3074" max="3328" width="8.85546875" style="160"/>
    <col min="3329" max="3329" width="3.42578125" style="160" customWidth="1"/>
    <col min="3330" max="3584" width="8.85546875" style="160"/>
    <col min="3585" max="3585" width="3.42578125" style="160" customWidth="1"/>
    <col min="3586" max="3840" width="8.85546875" style="160"/>
    <col min="3841" max="3841" width="3.42578125" style="160" customWidth="1"/>
    <col min="3842" max="4096" width="8.85546875" style="160"/>
    <col min="4097" max="4097" width="3.42578125" style="160" customWidth="1"/>
    <col min="4098" max="4352" width="8.85546875" style="160"/>
    <col min="4353" max="4353" width="3.42578125" style="160" customWidth="1"/>
    <col min="4354" max="4608" width="8.85546875" style="160"/>
    <col min="4609" max="4609" width="3.42578125" style="160" customWidth="1"/>
    <col min="4610" max="4864" width="8.85546875" style="160"/>
    <col min="4865" max="4865" width="3.42578125" style="160" customWidth="1"/>
    <col min="4866" max="5120" width="8.85546875" style="160"/>
    <col min="5121" max="5121" width="3.42578125" style="160" customWidth="1"/>
    <col min="5122" max="5376" width="8.85546875" style="160"/>
    <col min="5377" max="5377" width="3.42578125" style="160" customWidth="1"/>
    <col min="5378" max="5632" width="8.85546875" style="160"/>
    <col min="5633" max="5633" width="3.42578125" style="160" customWidth="1"/>
    <col min="5634" max="5888" width="8.85546875" style="160"/>
    <col min="5889" max="5889" width="3.42578125" style="160" customWidth="1"/>
    <col min="5890" max="6144" width="8.85546875" style="160"/>
    <col min="6145" max="6145" width="3.42578125" style="160" customWidth="1"/>
    <col min="6146" max="6400" width="8.85546875" style="160"/>
    <col min="6401" max="6401" width="3.42578125" style="160" customWidth="1"/>
    <col min="6402" max="6656" width="8.85546875" style="160"/>
    <col min="6657" max="6657" width="3.42578125" style="160" customWidth="1"/>
    <col min="6658" max="6912" width="8.85546875" style="160"/>
    <col min="6913" max="6913" width="3.42578125" style="160" customWidth="1"/>
    <col min="6914" max="7168" width="8.85546875" style="160"/>
    <col min="7169" max="7169" width="3.42578125" style="160" customWidth="1"/>
    <col min="7170" max="7424" width="8.85546875" style="160"/>
    <col min="7425" max="7425" width="3.42578125" style="160" customWidth="1"/>
    <col min="7426" max="7680" width="8.85546875" style="160"/>
    <col min="7681" max="7681" width="3.42578125" style="160" customWidth="1"/>
    <col min="7682" max="7936" width="8.85546875" style="160"/>
    <col min="7937" max="7937" width="3.42578125" style="160" customWidth="1"/>
    <col min="7938" max="8192" width="8.85546875" style="160"/>
    <col min="8193" max="8193" width="3.42578125" style="160" customWidth="1"/>
    <col min="8194" max="8448" width="8.85546875" style="160"/>
    <col min="8449" max="8449" width="3.42578125" style="160" customWidth="1"/>
    <col min="8450" max="8704" width="8.85546875" style="160"/>
    <col min="8705" max="8705" width="3.42578125" style="160" customWidth="1"/>
    <col min="8706" max="8960" width="8.85546875" style="160"/>
    <col min="8961" max="8961" width="3.42578125" style="160" customWidth="1"/>
    <col min="8962" max="9216" width="8.85546875" style="160"/>
    <col min="9217" max="9217" width="3.42578125" style="160" customWidth="1"/>
    <col min="9218" max="9472" width="8.85546875" style="160"/>
    <col min="9473" max="9473" width="3.42578125" style="160" customWidth="1"/>
    <col min="9474" max="9728" width="8.85546875" style="160"/>
    <col min="9729" max="9729" width="3.42578125" style="160" customWidth="1"/>
    <col min="9730" max="9984" width="8.85546875" style="160"/>
    <col min="9985" max="9985" width="3.42578125" style="160" customWidth="1"/>
    <col min="9986" max="10240" width="8.85546875" style="160"/>
    <col min="10241" max="10241" width="3.42578125" style="160" customWidth="1"/>
    <col min="10242" max="10496" width="8.85546875" style="160"/>
    <col min="10497" max="10497" width="3.42578125" style="160" customWidth="1"/>
    <col min="10498" max="10752" width="8.85546875" style="160"/>
    <col min="10753" max="10753" width="3.42578125" style="160" customWidth="1"/>
    <col min="10754" max="11008" width="8.85546875" style="160"/>
    <col min="11009" max="11009" width="3.42578125" style="160" customWidth="1"/>
    <col min="11010" max="11264" width="8.85546875" style="160"/>
    <col min="11265" max="11265" width="3.42578125" style="160" customWidth="1"/>
    <col min="11266" max="11520" width="8.85546875" style="160"/>
    <col min="11521" max="11521" width="3.42578125" style="160" customWidth="1"/>
    <col min="11522" max="11776" width="8.85546875" style="160"/>
    <col min="11777" max="11777" width="3.42578125" style="160" customWidth="1"/>
    <col min="11778" max="12032" width="8.85546875" style="160"/>
    <col min="12033" max="12033" width="3.42578125" style="160" customWidth="1"/>
    <col min="12034" max="12288" width="8.85546875" style="160"/>
    <col min="12289" max="12289" width="3.42578125" style="160" customWidth="1"/>
    <col min="12290" max="12544" width="8.85546875" style="160"/>
    <col min="12545" max="12545" width="3.42578125" style="160" customWidth="1"/>
    <col min="12546" max="12800" width="8.85546875" style="160"/>
    <col min="12801" max="12801" width="3.42578125" style="160" customWidth="1"/>
    <col min="12802" max="13056" width="8.85546875" style="160"/>
    <col min="13057" max="13057" width="3.42578125" style="160" customWidth="1"/>
    <col min="13058" max="13312" width="8.85546875" style="160"/>
    <col min="13313" max="13313" width="3.42578125" style="160" customWidth="1"/>
    <col min="13314" max="13568" width="8.85546875" style="160"/>
    <col min="13569" max="13569" width="3.42578125" style="160" customWidth="1"/>
    <col min="13570" max="13824" width="8.85546875" style="160"/>
    <col min="13825" max="13825" width="3.42578125" style="160" customWidth="1"/>
    <col min="13826" max="14080" width="8.85546875" style="160"/>
    <col min="14081" max="14081" width="3.42578125" style="160" customWidth="1"/>
    <col min="14082" max="14336" width="8.85546875" style="160"/>
    <col min="14337" max="14337" width="3.42578125" style="160" customWidth="1"/>
    <col min="14338" max="14592" width="8.85546875" style="160"/>
    <col min="14593" max="14593" width="3.42578125" style="160" customWidth="1"/>
    <col min="14594" max="14848" width="8.85546875" style="160"/>
    <col min="14849" max="14849" width="3.42578125" style="160" customWidth="1"/>
    <col min="14850" max="15104" width="8.85546875" style="160"/>
    <col min="15105" max="15105" width="3.42578125" style="160" customWidth="1"/>
    <col min="15106" max="15360" width="8.85546875" style="160"/>
    <col min="15361" max="15361" width="3.42578125" style="160" customWidth="1"/>
    <col min="15362" max="15616" width="8.85546875" style="160"/>
    <col min="15617" max="15617" width="3.42578125" style="160" customWidth="1"/>
    <col min="15618" max="15872" width="8.85546875" style="160"/>
    <col min="15873" max="15873" width="3.42578125" style="160" customWidth="1"/>
    <col min="15874" max="16128" width="8.85546875" style="160"/>
    <col min="16129" max="16129" width="3.42578125" style="160" customWidth="1"/>
    <col min="16130" max="16384" width="8.85546875" style="160"/>
  </cols>
  <sheetData>
    <row r="1" spans="1:24" ht="13.5" thickBot="1" x14ac:dyDescent="0.25"/>
    <row r="2" spans="1:24" ht="13.5" thickTop="1" x14ac:dyDescent="0.2">
      <c r="B2" s="161"/>
      <c r="C2" s="162"/>
      <c r="D2" s="162"/>
      <c r="E2" s="162"/>
      <c r="F2" s="162"/>
      <c r="G2" s="162"/>
      <c r="H2" s="162"/>
      <c r="I2" s="162"/>
      <c r="J2" s="162"/>
      <c r="K2" s="162"/>
      <c r="L2" s="162"/>
      <c r="M2" s="163"/>
    </row>
    <row r="3" spans="1:24" ht="26.25" customHeight="1" x14ac:dyDescent="0.25">
      <c r="B3" s="164"/>
      <c r="C3" s="1542" t="s">
        <v>1220</v>
      </c>
      <c r="D3" s="1542"/>
      <c r="E3" s="1542"/>
      <c r="F3" s="1542"/>
      <c r="G3" s="1542"/>
      <c r="H3" s="1542"/>
      <c r="I3" s="1542"/>
      <c r="J3" s="1542"/>
      <c r="K3" s="1542"/>
      <c r="L3" s="1542"/>
      <c r="M3" s="165"/>
    </row>
    <row r="4" spans="1:24" ht="87" customHeight="1" x14ac:dyDescent="0.2">
      <c r="B4" s="1543" t="s">
        <v>1382</v>
      </c>
      <c r="C4" s="1544"/>
      <c r="D4" s="1544"/>
      <c r="E4" s="1544"/>
      <c r="F4" s="1544"/>
      <c r="G4" s="1544"/>
      <c r="H4" s="1544"/>
      <c r="I4" s="1544"/>
      <c r="J4" s="1544"/>
      <c r="K4" s="1544"/>
      <c r="L4" s="1544"/>
      <c r="M4" s="1545"/>
    </row>
    <row r="5" spans="1:24" ht="13.5" thickBot="1" x14ac:dyDescent="0.25">
      <c r="B5" s="166"/>
      <c r="C5" s="167"/>
      <c r="D5" s="167"/>
      <c r="E5" s="167"/>
      <c r="F5" s="167"/>
      <c r="G5" s="167"/>
      <c r="H5" s="167"/>
      <c r="I5" s="167"/>
      <c r="J5" s="167"/>
      <c r="K5" s="167"/>
      <c r="L5" s="167"/>
      <c r="M5" s="168"/>
    </row>
    <row r="6" spans="1:24" ht="13.5" thickTop="1" x14ac:dyDescent="0.2"/>
    <row r="7" spans="1:24" x14ac:dyDescent="0.2">
      <c r="B7" s="1546" t="s">
        <v>1381</v>
      </c>
      <c r="C7" s="1546"/>
      <c r="D7" s="1546"/>
      <c r="E7" s="1546"/>
      <c r="F7" s="1546"/>
      <c r="G7" s="1546"/>
      <c r="H7" s="1546"/>
      <c r="I7" s="1546"/>
      <c r="J7" s="1546"/>
      <c r="K7" s="1546"/>
      <c r="L7" s="1546"/>
      <c r="M7" s="1546"/>
    </row>
    <row r="8" spans="1:24" x14ac:dyDescent="0.2">
      <c r="B8" s="169"/>
      <c r="C8" s="169"/>
      <c r="D8" s="169"/>
      <c r="E8" s="169"/>
      <c r="F8" s="169"/>
      <c r="G8" s="169"/>
      <c r="H8" s="169"/>
      <c r="I8" s="169"/>
      <c r="J8" s="169"/>
      <c r="K8" s="169"/>
      <c r="L8" s="169"/>
      <c r="M8" s="169"/>
    </row>
    <row r="9" spans="1:24" s="172" customFormat="1" ht="15.75" customHeight="1" x14ac:dyDescent="0.2">
      <c r="A9" s="170"/>
      <c r="B9" s="1547" t="s">
        <v>1221</v>
      </c>
      <c r="C9" s="1541"/>
      <c r="D9" s="1541"/>
      <c r="E9" s="1541"/>
      <c r="F9" s="1541"/>
      <c r="G9" s="1541"/>
      <c r="H9" s="1541"/>
      <c r="I9" s="1541"/>
      <c r="J9" s="1541"/>
      <c r="K9" s="1541"/>
      <c r="L9" s="1541"/>
      <c r="M9" s="1541"/>
      <c r="N9" s="159"/>
      <c r="O9" s="170"/>
      <c r="P9" s="170"/>
      <c r="Q9" s="170"/>
      <c r="R9" s="170"/>
      <c r="S9" s="170"/>
      <c r="T9" s="170"/>
      <c r="U9" s="170"/>
      <c r="V9" s="170"/>
      <c r="W9" s="170"/>
      <c r="X9" s="170"/>
    </row>
    <row r="10" spans="1:24" s="172" customFormat="1" ht="14.25" customHeight="1" x14ac:dyDescent="0.25">
      <c r="A10" s="170"/>
      <c r="B10" s="1541" t="s">
        <v>1387</v>
      </c>
      <c r="C10" s="1541"/>
      <c r="D10" s="1541"/>
      <c r="E10" s="1541"/>
      <c r="F10" s="171"/>
      <c r="G10" s="171"/>
      <c r="H10" s="171"/>
      <c r="I10" s="171"/>
      <c r="J10" s="171"/>
      <c r="K10" s="171"/>
      <c r="L10" s="171"/>
      <c r="M10" s="171"/>
      <c r="N10" s="170"/>
      <c r="O10" s="170"/>
      <c r="P10" s="170"/>
      <c r="Q10" s="170"/>
      <c r="R10" s="170"/>
      <c r="S10" s="170"/>
      <c r="T10" s="170"/>
      <c r="U10" s="170"/>
      <c r="V10" s="170"/>
      <c r="W10" s="170"/>
      <c r="X10" s="170"/>
    </row>
    <row r="11" spans="1:24" x14ac:dyDescent="0.2">
      <c r="B11" s="169"/>
      <c r="C11" s="169"/>
      <c r="D11" s="169"/>
      <c r="E11" s="169"/>
      <c r="F11" s="169"/>
      <c r="G11" s="169"/>
      <c r="H11" s="169"/>
      <c r="I11" s="169"/>
      <c r="J11" s="169"/>
      <c r="K11" s="169"/>
      <c r="L11" s="169"/>
      <c r="M11" s="169"/>
      <c r="N11" s="170"/>
    </row>
    <row r="12" spans="1:24" x14ac:dyDescent="0.2">
      <c r="B12" s="173" t="s">
        <v>1222</v>
      </c>
    </row>
    <row r="13" spans="1:24" ht="57" customHeight="1" x14ac:dyDescent="0.2">
      <c r="B13" s="1541" t="s">
        <v>1223</v>
      </c>
      <c r="C13" s="1541"/>
      <c r="D13" s="1541"/>
      <c r="E13" s="1541"/>
      <c r="F13" s="1541"/>
      <c r="G13" s="1541"/>
      <c r="H13" s="1541"/>
      <c r="I13" s="1541"/>
      <c r="J13" s="1541"/>
      <c r="K13" s="1541"/>
      <c r="L13" s="1541"/>
      <c r="M13" s="1541"/>
    </row>
    <row r="14" spans="1:24" ht="13.5" customHeight="1" x14ac:dyDescent="0.2">
      <c r="B14" s="171"/>
      <c r="C14" s="171"/>
      <c r="D14" s="171"/>
      <c r="E14" s="171"/>
      <c r="F14" s="171"/>
      <c r="G14" s="171"/>
      <c r="H14" s="171"/>
      <c r="I14" s="171"/>
      <c r="J14" s="171"/>
      <c r="K14" s="171"/>
      <c r="L14" s="171"/>
      <c r="M14" s="171"/>
    </row>
    <row r="15" spans="1:24" ht="13.5" customHeight="1" x14ac:dyDescent="0.2">
      <c r="B15" s="173" t="s">
        <v>1224</v>
      </c>
    </row>
    <row r="16" spans="1:24" ht="27" customHeight="1" x14ac:dyDescent="0.2">
      <c r="B16" s="1541" t="s">
        <v>1225</v>
      </c>
      <c r="C16" s="1541"/>
      <c r="D16" s="1541"/>
      <c r="E16" s="1541"/>
      <c r="F16" s="1541"/>
      <c r="G16" s="1541"/>
      <c r="H16" s="1541"/>
      <c r="I16" s="1541"/>
      <c r="J16" s="1541"/>
      <c r="K16" s="1541"/>
      <c r="L16" s="1541"/>
      <c r="M16" s="1541"/>
    </row>
    <row r="17" spans="2:13" ht="11.25" customHeight="1" x14ac:dyDescent="0.2"/>
    <row r="18" spans="2:13" ht="14.25" customHeight="1" x14ac:dyDescent="0.2">
      <c r="B18" s="173" t="s">
        <v>1226</v>
      </c>
    </row>
    <row r="19" spans="2:13" ht="40.5" customHeight="1" x14ac:dyDescent="0.2">
      <c r="B19" s="1541" t="s">
        <v>1384</v>
      </c>
      <c r="C19" s="1541"/>
      <c r="D19" s="1541"/>
      <c r="E19" s="1541"/>
      <c r="F19" s="1541"/>
      <c r="G19" s="1541"/>
      <c r="H19" s="1541"/>
      <c r="I19" s="1541"/>
      <c r="J19" s="1541"/>
      <c r="K19" s="1541"/>
      <c r="L19" s="1541"/>
      <c r="M19" s="1541"/>
    </row>
    <row r="20" spans="2:13" ht="18.75" customHeight="1" x14ac:dyDescent="0.2">
      <c r="B20" s="1541" t="s">
        <v>1383</v>
      </c>
      <c r="C20" s="1541"/>
      <c r="D20" s="1541"/>
      <c r="E20" s="1541"/>
      <c r="F20" s="1541"/>
      <c r="G20" s="1541"/>
      <c r="H20" s="1541"/>
      <c r="I20" s="1541"/>
      <c r="J20" s="1541"/>
      <c r="K20" s="1541"/>
      <c r="L20" s="1541"/>
      <c r="M20" s="1541"/>
    </row>
    <row r="21" spans="2:13" ht="66.95" customHeight="1" x14ac:dyDescent="0.2">
      <c r="B21" s="1541" t="s">
        <v>1227</v>
      </c>
      <c r="C21" s="1541"/>
      <c r="D21" s="1541"/>
      <c r="E21" s="1541"/>
      <c r="F21" s="1541"/>
      <c r="G21" s="1541"/>
      <c r="H21" s="1541"/>
      <c r="I21" s="1541"/>
      <c r="J21" s="1541"/>
      <c r="K21" s="1541"/>
      <c r="L21" s="1541"/>
      <c r="M21" s="1541"/>
    </row>
    <row r="22" spans="2:13" ht="14.1" customHeight="1" x14ac:dyDescent="0.2">
      <c r="B22" s="174"/>
      <c r="C22" s="174"/>
      <c r="D22" s="174"/>
      <c r="E22" s="174"/>
      <c r="F22" s="174"/>
      <c r="G22" s="174"/>
      <c r="H22" s="174"/>
      <c r="I22" s="174"/>
      <c r="J22" s="174"/>
      <c r="K22" s="174"/>
      <c r="L22" s="174"/>
      <c r="M22" s="174"/>
    </row>
    <row r="23" spans="2:13" x14ac:dyDescent="0.2">
      <c r="B23" s="175" t="s">
        <v>1228</v>
      </c>
      <c r="C23" s="170"/>
      <c r="D23" s="170"/>
      <c r="E23" s="170"/>
      <c r="F23" s="170"/>
      <c r="G23" s="170"/>
      <c r="H23" s="170"/>
      <c r="I23" s="170"/>
      <c r="J23" s="170"/>
      <c r="K23" s="170"/>
      <c r="L23" s="170"/>
      <c r="M23" s="170"/>
    </row>
    <row r="24" spans="2:13" ht="57" customHeight="1" x14ac:dyDescent="0.2">
      <c r="B24" s="1548" t="s">
        <v>1385</v>
      </c>
      <c r="C24" s="1541"/>
      <c r="D24" s="1541"/>
      <c r="E24" s="1541"/>
      <c r="F24" s="1541"/>
      <c r="G24" s="1541"/>
      <c r="H24" s="1541"/>
      <c r="I24" s="1541"/>
      <c r="J24" s="1541"/>
      <c r="K24" s="1541"/>
      <c r="L24" s="1541"/>
      <c r="M24" s="1541"/>
    </row>
    <row r="25" spans="2:13" ht="12.75" customHeight="1" x14ac:dyDescent="0.2">
      <c r="B25" s="1549" t="s">
        <v>1386</v>
      </c>
      <c r="C25" s="1550"/>
      <c r="D25" s="1550"/>
      <c r="E25" s="1550"/>
      <c r="F25" s="1550"/>
      <c r="G25" s="1550"/>
      <c r="H25" s="1550"/>
      <c r="I25" s="1550"/>
      <c r="J25" s="1550"/>
      <c r="K25" s="1550"/>
      <c r="L25" s="1550"/>
      <c r="M25" s="1550"/>
    </row>
    <row r="26" spans="2:13" ht="110.1" customHeight="1" x14ac:dyDescent="0.2">
      <c r="B26" s="1550"/>
      <c r="C26" s="1550"/>
      <c r="D26" s="1550"/>
      <c r="E26" s="1550"/>
      <c r="F26" s="1550"/>
      <c r="G26" s="1550"/>
      <c r="H26" s="1550"/>
      <c r="I26" s="1550"/>
      <c r="J26" s="1550"/>
      <c r="K26" s="1550"/>
      <c r="L26" s="1550"/>
      <c r="M26" s="1550"/>
    </row>
    <row r="27" spans="2:13" ht="39" customHeight="1" x14ac:dyDescent="0.2">
      <c r="B27" s="1541" t="s">
        <v>1232</v>
      </c>
      <c r="C27" s="1541"/>
      <c r="D27" s="1541"/>
      <c r="E27" s="1541"/>
      <c r="F27" s="1541"/>
      <c r="G27" s="1541"/>
      <c r="H27" s="1541"/>
      <c r="I27" s="1541"/>
      <c r="J27" s="1541"/>
      <c r="K27" s="1541"/>
      <c r="L27" s="1541"/>
      <c r="M27" s="1541"/>
    </row>
    <row r="28" spans="2:13" ht="12.75" customHeight="1" x14ac:dyDescent="0.2">
      <c r="B28" s="176"/>
      <c r="C28" s="176"/>
      <c r="D28" s="176"/>
      <c r="E28" s="176"/>
      <c r="F28" s="176"/>
      <c r="G28" s="176"/>
      <c r="H28" s="176"/>
      <c r="I28" s="176"/>
      <c r="J28" s="176"/>
      <c r="K28" s="176"/>
      <c r="L28" s="176"/>
      <c r="M28" s="176"/>
    </row>
    <row r="29" spans="2:13" x14ac:dyDescent="0.2">
      <c r="B29" s="175" t="s">
        <v>1229</v>
      </c>
      <c r="C29" s="170"/>
      <c r="D29" s="170"/>
    </row>
    <row r="30" spans="2:13" x14ac:dyDescent="0.2">
      <c r="B30" s="177" t="s">
        <v>1231</v>
      </c>
      <c r="C30" s="159" t="s">
        <v>1230</v>
      </c>
      <c r="D30" s="170"/>
    </row>
    <row r="31" spans="2:13" x14ac:dyDescent="0.2">
      <c r="B31" s="178"/>
      <c r="C31" s="170"/>
    </row>
    <row r="32" spans="2:13" x14ac:dyDescent="0.2">
      <c r="B32" s="177"/>
    </row>
  </sheetData>
  <sheetProtection algorithmName="SHA-512" hashValue="z/fPIEv8rfrBPlrCb31QLMiIwq6esDmJItQum9Xug/5GchPvqYHCVXs0VcQUz2SKAuToSuFuLZTbQ6JJD5j0vg==" saltValue="Jij1RQStUxkoptgA1uvM5Q==" spinCount="100000" sheet="1" objects="1" scenarios="1"/>
  <mergeCells count="13">
    <mergeCell ref="B27:M27"/>
    <mergeCell ref="C3:L3"/>
    <mergeCell ref="B4:M4"/>
    <mergeCell ref="B7:M7"/>
    <mergeCell ref="B9:M9"/>
    <mergeCell ref="B10:E10"/>
    <mergeCell ref="B13:M13"/>
    <mergeCell ref="B16:M16"/>
    <mergeCell ref="B19:M19"/>
    <mergeCell ref="B21:M21"/>
    <mergeCell ref="B24:M24"/>
    <mergeCell ref="B25:M26"/>
    <mergeCell ref="B20:M20"/>
  </mergeCells>
  <pageMargins left="0.75" right="0.75" top="1" bottom="1" header="0.5" footer="0.5"/>
  <pageSetup orientation="portrait" horizontalDpi="4294967293" vertic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8"/>
  <sheetViews>
    <sheetView zoomScale="120" zoomScaleNormal="120" workbookViewId="0"/>
  </sheetViews>
  <sheetFormatPr defaultColWidth="8.85546875" defaultRowHeight="15" x14ac:dyDescent="0.25"/>
  <cols>
    <col min="5" max="5" width="10.7109375" customWidth="1"/>
    <col min="8" max="11" width="8.85546875" customWidth="1"/>
    <col min="12" max="12" width="14" customWidth="1"/>
    <col min="13" max="13" width="16.7109375" customWidth="1"/>
    <col min="14" max="15" width="9.42578125" bestFit="1" customWidth="1"/>
    <col min="16" max="17" width="9.7109375" bestFit="1" customWidth="1"/>
    <col min="19" max="19" width="10.42578125" bestFit="1" customWidth="1"/>
    <col min="20" max="20" width="9.42578125" bestFit="1" customWidth="1"/>
  </cols>
  <sheetData>
    <row r="1" spans="1:20" ht="16.5" thickBot="1" x14ac:dyDescent="0.3">
      <c r="L1" s="1650">
        <f>'GLOBAL INPUTS'!F55</f>
        <v>0</v>
      </c>
      <c r="M1" s="1651"/>
      <c r="N1" s="1651"/>
      <c r="O1" s="1652"/>
    </row>
    <row r="2" spans="1:20" ht="15.75" thickBot="1" x14ac:dyDescent="0.3">
      <c r="A2" s="15" t="s">
        <v>1194</v>
      </c>
      <c r="B2" s="15"/>
      <c r="C2" s="15"/>
      <c r="D2" s="15"/>
      <c r="E2" s="15"/>
    </row>
    <row r="3" spans="1:20" ht="19.5" thickBot="1" x14ac:dyDescent="0.3">
      <c r="A3" s="15" t="s">
        <v>579</v>
      </c>
      <c r="B3" s="15"/>
      <c r="C3" s="15"/>
      <c r="D3" s="15"/>
      <c r="E3" s="15"/>
      <c r="G3" s="461" t="s">
        <v>580</v>
      </c>
      <c r="H3" s="462">
        <v>3.6</v>
      </c>
    </row>
    <row r="4" spans="1:20" ht="19.5" thickBot="1" x14ac:dyDescent="0.3">
      <c r="A4" s="15" t="s">
        <v>581</v>
      </c>
      <c r="B4" s="15"/>
      <c r="C4" s="15"/>
      <c r="D4" s="15"/>
      <c r="E4" s="15"/>
      <c r="G4" s="17" t="s">
        <v>582</v>
      </c>
      <c r="H4" s="463">
        <f>'GLOBAL INPUTS'!F59</f>
        <v>0</v>
      </c>
      <c r="M4" s="1677" t="s">
        <v>1040</v>
      </c>
      <c r="N4" s="1678"/>
      <c r="O4" s="1678"/>
      <c r="P4" s="1678"/>
      <c r="Q4" s="1679"/>
      <c r="R4" s="18"/>
    </row>
    <row r="5" spans="1:20" ht="19.5" thickBot="1" x14ac:dyDescent="0.3">
      <c r="C5" s="18"/>
      <c r="D5" s="18"/>
      <c r="E5" s="18"/>
      <c r="F5" s="18"/>
      <c r="G5" s="461" t="s">
        <v>1</v>
      </c>
      <c r="H5" s="462">
        <f>'GLOBAL INPUTS'!F58</f>
        <v>0</v>
      </c>
      <c r="I5" s="18"/>
      <c r="J5" s="18"/>
      <c r="K5" s="18"/>
    </row>
    <row r="6" spans="1:20" ht="19.5" thickBot="1" x14ac:dyDescent="0.35">
      <c r="C6" s="18"/>
      <c r="G6" s="464" t="s">
        <v>583</v>
      </c>
      <c r="H6" s="465">
        <v>4</v>
      </c>
      <c r="K6" s="18"/>
      <c r="N6" s="466" t="s">
        <v>556</v>
      </c>
      <c r="O6" s="466" t="s">
        <v>474</v>
      </c>
      <c r="P6" s="466" t="s">
        <v>292</v>
      </c>
      <c r="Q6" s="425" t="s">
        <v>145</v>
      </c>
    </row>
    <row r="7" spans="1:20" x14ac:dyDescent="0.25">
      <c r="C7" s="18"/>
      <c r="K7" s="29"/>
      <c r="L7" s="1584" t="s">
        <v>584</v>
      </c>
      <c r="M7" s="467" t="s">
        <v>1202</v>
      </c>
      <c r="N7" s="468" t="e">
        <f>G26</f>
        <v>#DIV/0!</v>
      </c>
      <c r="O7" s="468" t="e">
        <f>G24</f>
        <v>#DIV/0!</v>
      </c>
      <c r="P7" s="468" t="e">
        <f>F25</f>
        <v>#DIV/0!</v>
      </c>
      <c r="Q7" s="468" t="e">
        <f>H25</f>
        <v>#DIV/0!</v>
      </c>
    </row>
    <row r="8" spans="1:20" ht="15.75" thickBot="1" x14ac:dyDescent="0.3">
      <c r="C8" s="18"/>
      <c r="E8" s="14" t="s">
        <v>563</v>
      </c>
      <c r="F8" s="14" t="s">
        <v>564</v>
      </c>
      <c r="G8" s="14" t="s">
        <v>565</v>
      </c>
      <c r="L8" s="1680"/>
      <c r="M8" s="469" t="s">
        <v>1203</v>
      </c>
      <c r="N8" s="470" t="e">
        <f>F26</f>
        <v>#DIV/0!</v>
      </c>
      <c r="O8" s="470" t="e">
        <f>H24</f>
        <v>#DIV/0!</v>
      </c>
      <c r="P8" s="470" t="e">
        <f>F24</f>
        <v>#DIV/0!</v>
      </c>
      <c r="Q8" s="470" t="e">
        <f>H26</f>
        <v>#DIV/0!</v>
      </c>
    </row>
    <row r="9" spans="1:20" ht="15.75" thickBot="1" x14ac:dyDescent="0.3">
      <c r="D9" s="471" t="s">
        <v>556</v>
      </c>
      <c r="E9" s="472">
        <f>VLOOKUP(E8,'GLOBAL INPUTS'!$Q$56:$S$67,3,FALSE)*'GLOBAL INPUTS'!F68</f>
        <v>0</v>
      </c>
      <c r="F9" s="472">
        <f>VLOOKUP(F8,'GLOBAL INPUTS'!$Q$56:$S$67,3,FALSE)*'GLOBAL INPUTS'!$F$68</f>
        <v>0</v>
      </c>
      <c r="G9" s="473">
        <f>VLOOKUP(G8,'GLOBAL INPUTS'!$Q$56:$S$67,3,FALSE)*'GLOBAL INPUTS'!$F$68</f>
        <v>0</v>
      </c>
      <c r="K9" s="18"/>
      <c r="L9" s="1680"/>
      <c r="M9" s="469" t="s">
        <v>1204</v>
      </c>
      <c r="N9" s="470" t="e">
        <f>H27</f>
        <v>#DIV/0!</v>
      </c>
      <c r="O9" s="470" t="e">
        <f>F23</f>
        <v>#DIV/0!</v>
      </c>
      <c r="P9" s="470" t="e">
        <f>E26</f>
        <v>#DIV/0!</v>
      </c>
      <c r="Q9" s="470" t="e">
        <f>I24</f>
        <v>#DIV/0!</v>
      </c>
    </row>
    <row r="10" spans="1:20" ht="15.75" thickBot="1" x14ac:dyDescent="0.3">
      <c r="C10" s="18"/>
      <c r="E10" s="14" t="s">
        <v>566</v>
      </c>
      <c r="F10" s="14" t="s">
        <v>567</v>
      </c>
      <c r="G10" s="14" t="s">
        <v>568</v>
      </c>
      <c r="K10" s="29"/>
      <c r="L10" s="1585"/>
      <c r="M10" s="461" t="s">
        <v>1205</v>
      </c>
      <c r="N10" s="474" t="e">
        <f>SUM(N7:N9)</f>
        <v>#DIV/0!</v>
      </c>
      <c r="O10" s="474" t="e">
        <f t="shared" ref="O10:Q10" si="0">SUM(O7:O9)</f>
        <v>#DIV/0!</v>
      </c>
      <c r="P10" s="474" t="e">
        <f t="shared" si="0"/>
        <v>#DIV/0!</v>
      </c>
      <c r="Q10" s="474" t="e">
        <f t="shared" si="0"/>
        <v>#DIV/0!</v>
      </c>
    </row>
    <row r="11" spans="1:20" ht="19.5" customHeight="1" thickBot="1" x14ac:dyDescent="0.3">
      <c r="C11" s="18"/>
      <c r="D11" s="471" t="s">
        <v>474</v>
      </c>
      <c r="E11" s="472">
        <f>VLOOKUP(E10,'GLOBAL INPUTS'!$Q$56:$S$67,3,FALSE)*'GLOBAL INPUTS'!$F$68</f>
        <v>0</v>
      </c>
      <c r="F11" s="472">
        <f>VLOOKUP(F10,'GLOBAL INPUTS'!$Q$56:$S$67,3,FALSE)*'GLOBAL INPUTS'!$F$68</f>
        <v>0</v>
      </c>
      <c r="G11" s="473">
        <f>VLOOKUP(G10,'GLOBAL INPUTS'!$Q$56:$S$67,3,FALSE)</f>
        <v>0</v>
      </c>
      <c r="K11" s="18"/>
      <c r="L11" s="1584" t="s">
        <v>585</v>
      </c>
      <c r="M11" s="475" t="s">
        <v>586</v>
      </c>
      <c r="N11" s="476">
        <f>3600/(($H$6-1)*$H$3)</f>
        <v>333.33333333333331</v>
      </c>
      <c r="O11" s="476">
        <f t="shared" ref="O11:Q11" si="1">3600/(($H$6-1)*$H$3)</f>
        <v>333.33333333333331</v>
      </c>
      <c r="P11" s="476">
        <f t="shared" si="1"/>
        <v>333.33333333333331</v>
      </c>
      <c r="Q11" s="476">
        <f t="shared" si="1"/>
        <v>333.33333333333331</v>
      </c>
    </row>
    <row r="12" spans="1:20" ht="15.75" thickBot="1" x14ac:dyDescent="0.3">
      <c r="C12" s="18"/>
      <c r="E12" s="14" t="s">
        <v>557</v>
      </c>
      <c r="F12" s="14" t="s">
        <v>558</v>
      </c>
      <c r="G12" s="14" t="s">
        <v>559</v>
      </c>
      <c r="K12" s="18"/>
      <c r="L12" s="1585"/>
      <c r="M12" s="477" t="s">
        <v>587</v>
      </c>
      <c r="N12" s="478">
        <f>3600/$H$3</f>
        <v>1000</v>
      </c>
      <c r="O12" s="478">
        <f t="shared" ref="O12:Q12" si="2">3600/$H$3</f>
        <v>1000</v>
      </c>
      <c r="P12" s="478">
        <f t="shared" si="2"/>
        <v>1000</v>
      </c>
      <c r="Q12" s="478">
        <f t="shared" si="2"/>
        <v>1000</v>
      </c>
    </row>
    <row r="13" spans="1:20" ht="15.75" thickBot="1" x14ac:dyDescent="0.3">
      <c r="D13" s="471" t="s">
        <v>292</v>
      </c>
      <c r="E13" s="472">
        <f>VLOOKUP(E12,'GLOBAL INPUTS'!$Q$56:$S$67,3,FALSE)*'GLOBAL INPUTS'!$F$68</f>
        <v>0</v>
      </c>
      <c r="F13" s="472">
        <f>VLOOKUP(F12,'GLOBAL INPUTS'!$Q$56:$S$67,3,FALSE)*'GLOBAL INPUTS'!$F$68</f>
        <v>0</v>
      </c>
      <c r="G13" s="473">
        <f>VLOOKUP(G12,'GLOBAL INPUTS'!$Q$56:$S$67,3,FALSE)*'GLOBAL INPUTS'!$F$68</f>
        <v>0</v>
      </c>
      <c r="L13" s="1584" t="s">
        <v>588</v>
      </c>
      <c r="M13" s="18" t="s">
        <v>589</v>
      </c>
      <c r="N13" s="479" t="e">
        <f>F25</f>
        <v>#DIV/0!</v>
      </c>
      <c r="O13" s="479" t="e">
        <f>H25</f>
        <v>#DIV/0!</v>
      </c>
      <c r="P13" s="479" t="e">
        <f>G24</f>
        <v>#DIV/0!</v>
      </c>
      <c r="Q13" s="479" t="e">
        <f>G26</f>
        <v>#DIV/0!</v>
      </c>
    </row>
    <row r="14" spans="1:20" ht="15.75" thickBot="1" x14ac:dyDescent="0.3">
      <c r="E14" s="14" t="s">
        <v>560</v>
      </c>
      <c r="F14" s="14" t="s">
        <v>561</v>
      </c>
      <c r="G14" s="14" t="s">
        <v>562</v>
      </c>
      <c r="L14" s="1680"/>
      <c r="M14" s="18" t="s">
        <v>590</v>
      </c>
      <c r="N14" s="479" t="e">
        <f>G24</f>
        <v>#DIV/0!</v>
      </c>
      <c r="O14" s="479" t="e">
        <f>G26</f>
        <v>#DIV/0!</v>
      </c>
      <c r="P14" s="479" t="e">
        <f>H25</f>
        <v>#DIV/0!</v>
      </c>
      <c r="Q14" s="479" t="e">
        <f>F25</f>
        <v>#DIV/0!</v>
      </c>
    </row>
    <row r="15" spans="1:20" ht="15.75" thickBot="1" x14ac:dyDescent="0.3">
      <c r="D15" s="471" t="s">
        <v>145</v>
      </c>
      <c r="E15" s="472">
        <f>VLOOKUP(E14,'GLOBAL INPUTS'!$Q$56:$S$67,3,FALSE)*'GLOBAL INPUTS'!F68</f>
        <v>0</v>
      </c>
      <c r="F15" s="472">
        <f>VLOOKUP(F14,'GLOBAL INPUTS'!$Q$56:$S$67,3,FALSE)*'GLOBAL INPUTS'!$F$68</f>
        <v>0</v>
      </c>
      <c r="G15" s="473">
        <f>VLOOKUP(G14,'GLOBAL INPUTS'!$Q$56:$S$67,3,FALSE)*'GLOBAL INPUTS'!$F$68</f>
        <v>0</v>
      </c>
      <c r="L15" s="1680"/>
      <c r="M15" s="18" t="s">
        <v>591</v>
      </c>
      <c r="N15" s="479" t="e">
        <f>H25</f>
        <v>#DIV/0!</v>
      </c>
      <c r="O15" s="479" t="e">
        <f>F25</f>
        <v>#DIV/0!</v>
      </c>
      <c r="P15" s="479" t="e">
        <f>G26</f>
        <v>#DIV/0!</v>
      </c>
      <c r="Q15" s="479" t="e">
        <f>G24</f>
        <v>#DIV/0!</v>
      </c>
      <c r="T15" s="480"/>
    </row>
    <row r="16" spans="1:20" x14ac:dyDescent="0.25">
      <c r="L16" s="1680"/>
      <c r="M16" s="18" t="s">
        <v>592</v>
      </c>
      <c r="N16" s="479" t="e">
        <f>F24</f>
        <v>#DIV/0!</v>
      </c>
      <c r="O16" s="479" t="e">
        <f>H26</f>
        <v>#DIV/0!</v>
      </c>
      <c r="P16" s="479" t="e">
        <f>H24</f>
        <v>#DIV/0!</v>
      </c>
      <c r="Q16" s="479" t="e">
        <f>F26</f>
        <v>#DIV/0!</v>
      </c>
      <c r="T16" s="480"/>
    </row>
    <row r="17" spans="1:21" x14ac:dyDescent="0.25">
      <c r="L17" s="1680"/>
      <c r="M17" s="18" t="s">
        <v>593</v>
      </c>
      <c r="N17" s="479" t="e">
        <f>H26</f>
        <v>#DIV/0!</v>
      </c>
      <c r="O17" s="479" t="e">
        <f>F24</f>
        <v>#DIV/0!</v>
      </c>
      <c r="P17" s="479" t="e">
        <f>F26</f>
        <v>#DIV/0!</v>
      </c>
      <c r="Q17" s="479" t="e">
        <f>H24</f>
        <v>#DIV/0!</v>
      </c>
      <c r="T17" s="480"/>
    </row>
    <row r="18" spans="1:21" ht="15.75" x14ac:dyDescent="0.25">
      <c r="I18" s="180"/>
      <c r="L18" s="1680"/>
      <c r="M18" s="18" t="s">
        <v>594</v>
      </c>
      <c r="N18" s="479" t="e">
        <f>H24</f>
        <v>#DIV/0!</v>
      </c>
      <c r="O18" s="479" t="e">
        <f>F26</f>
        <v>#DIV/0!</v>
      </c>
      <c r="P18" s="479" t="e">
        <f>H26</f>
        <v>#DIV/0!</v>
      </c>
      <c r="Q18" s="479" t="e">
        <f>F24</f>
        <v>#DIV/0!</v>
      </c>
      <c r="S18" s="31"/>
      <c r="T18" s="481"/>
    </row>
    <row r="19" spans="1:21" ht="15.75" thickBot="1" x14ac:dyDescent="0.3">
      <c r="C19" s="30"/>
      <c r="D19" s="18"/>
      <c r="E19" s="29"/>
      <c r="F19" s="18"/>
      <c r="G19" s="18"/>
      <c r="I19" s="18"/>
      <c r="J19" s="18"/>
      <c r="K19" s="18"/>
      <c r="L19" s="1680"/>
      <c r="M19" s="18" t="s">
        <v>595</v>
      </c>
      <c r="N19" s="479" t="e">
        <f>F23</f>
        <v>#DIV/0!</v>
      </c>
      <c r="O19" s="479" t="e">
        <f>H27</f>
        <v>#DIV/0!</v>
      </c>
      <c r="P19" s="479" t="e">
        <f>I24</f>
        <v>#DIV/0!</v>
      </c>
      <c r="Q19" s="479" t="e">
        <f>E26</f>
        <v>#DIV/0!</v>
      </c>
      <c r="S19" s="31"/>
      <c r="T19" s="31"/>
    </row>
    <row r="20" spans="1:21" ht="15.75" thickBot="1" x14ac:dyDescent="0.3">
      <c r="D20" s="18"/>
      <c r="E20" s="1677" t="s">
        <v>596</v>
      </c>
      <c r="F20" s="1678"/>
      <c r="G20" s="1678"/>
      <c r="H20" s="1678"/>
      <c r="I20" s="1679"/>
      <c r="L20" s="1585"/>
      <c r="M20" s="18" t="s">
        <v>597</v>
      </c>
      <c r="N20" s="479" t="e">
        <f>I24</f>
        <v>#DIV/0!</v>
      </c>
      <c r="O20" s="479" t="e">
        <f>E26</f>
        <v>#DIV/0!</v>
      </c>
      <c r="P20" s="479" t="e">
        <f>H27</f>
        <v>#DIV/0!</v>
      </c>
      <c r="Q20" s="479" t="e">
        <f>F23</f>
        <v>#DIV/0!</v>
      </c>
      <c r="S20" s="31"/>
    </row>
    <row r="21" spans="1:21" ht="15.75" thickBot="1" x14ac:dyDescent="0.3">
      <c r="C21" s="482"/>
      <c r="F21" s="30"/>
      <c r="L21" s="483" t="s">
        <v>598</v>
      </c>
      <c r="M21" s="484"/>
      <c r="N21" s="485" t="e">
        <f>MAX(N19+N15,N14+N15+N16,N14+N17+N13)</f>
        <v>#DIV/0!</v>
      </c>
      <c r="O21" s="485" t="e">
        <f t="shared" ref="O21:Q21" si="3">MAX(O19+O15,O14+O15+O16,O14+O17+O13)</f>
        <v>#DIV/0!</v>
      </c>
      <c r="P21" s="485" t="e">
        <f t="shared" si="3"/>
        <v>#DIV/0!</v>
      </c>
      <c r="Q21" s="485" t="e">
        <f t="shared" si="3"/>
        <v>#DIV/0!</v>
      </c>
      <c r="S21" s="31"/>
    </row>
    <row r="22" spans="1:21" ht="16.5" thickBot="1" x14ac:dyDescent="0.3">
      <c r="D22" s="18"/>
      <c r="G22" s="486" t="s">
        <v>599</v>
      </c>
      <c r="L22" s="487" t="s">
        <v>1201</v>
      </c>
      <c r="M22" s="227"/>
      <c r="N22" s="488" t="e">
        <f>MAX(N12-N21,N11)</f>
        <v>#DIV/0!</v>
      </c>
      <c r="O22" s="488" t="e">
        <f t="shared" ref="O22:Q22" si="4">MAX(O12-O21,O11)</f>
        <v>#DIV/0!</v>
      </c>
      <c r="P22" s="488" t="e">
        <f t="shared" si="4"/>
        <v>#DIV/0!</v>
      </c>
      <c r="Q22" s="488" t="e">
        <f t="shared" si="4"/>
        <v>#DIV/0!</v>
      </c>
    </row>
    <row r="23" spans="1:21" ht="16.5" thickBot="1" x14ac:dyDescent="0.3">
      <c r="D23" s="18"/>
      <c r="E23" s="489" t="s">
        <v>11</v>
      </c>
      <c r="F23" s="490" t="e">
        <f>G11/$H$5*(1+H4/100)</f>
        <v>#DIV/0!</v>
      </c>
      <c r="G23" s="491" t="s">
        <v>10</v>
      </c>
      <c r="H23" s="492" t="s">
        <v>9</v>
      </c>
      <c r="I23" s="493" t="s">
        <v>11</v>
      </c>
      <c r="J23" s="29"/>
      <c r="L23" s="13" t="s">
        <v>1200</v>
      </c>
      <c r="N23" s="494" t="e">
        <f>N8/N22</f>
        <v>#DIV/0!</v>
      </c>
      <c r="O23" s="494" t="e">
        <f>O8/O22</f>
        <v>#DIV/0!</v>
      </c>
      <c r="P23" s="494" t="e">
        <f>P8/P22</f>
        <v>#DIV/0!</v>
      </c>
      <c r="Q23" s="494" t="e">
        <f>Q8/Q22</f>
        <v>#DIV/0!</v>
      </c>
      <c r="R23" s="31"/>
    </row>
    <row r="24" spans="1:21" ht="16.5" thickBot="1" x14ac:dyDescent="0.3">
      <c r="D24" s="18"/>
      <c r="E24" s="495" t="s">
        <v>9</v>
      </c>
      <c r="F24" s="496" t="e">
        <f>E13/$H$5*(1+$H$4/100)</f>
        <v>#DIV/0!</v>
      </c>
      <c r="G24" s="497" t="e">
        <f>F11/$H$5*(1+H4/100)</f>
        <v>#DIV/0!</v>
      </c>
      <c r="H24" s="498" t="e">
        <f>E11/$H$5*(1+H4/100)</f>
        <v>#DIV/0!</v>
      </c>
      <c r="I24" s="499" t="e">
        <f>G15/$H$5*(1+H4/100)</f>
        <v>#DIV/0!</v>
      </c>
      <c r="J24" s="23"/>
      <c r="L24" s="13" t="s">
        <v>600</v>
      </c>
      <c r="N24" s="479" t="e">
        <f>MAX(N20+N16,N18+N17+N13,N14+N15+N16)</f>
        <v>#DIV/0!</v>
      </c>
      <c r="O24" s="479" t="e">
        <f>MAX(O20+O16,O18+O17+O13,O14+O15+O16)</f>
        <v>#DIV/0!</v>
      </c>
      <c r="P24" s="479" t="e">
        <f>MAX(P20+P16,P18+P17+P13,P14+P15+P16)</f>
        <v>#DIV/0!</v>
      </c>
      <c r="Q24" s="479" t="e">
        <f>MAX(Q20+Q16,Q18+Q17+Q13,Q14+Q15+Q16)</f>
        <v>#DIV/0!</v>
      </c>
      <c r="R24" s="31"/>
      <c r="T24" s="500"/>
    </row>
    <row r="25" spans="1:21" ht="16.5" thickBot="1" x14ac:dyDescent="0.3">
      <c r="D25" s="501" t="s">
        <v>601</v>
      </c>
      <c r="E25" s="502" t="s">
        <v>10</v>
      </c>
      <c r="F25" s="503" t="e">
        <f>F13/$H$5*(1+H4/100)</f>
        <v>#DIV/0!</v>
      </c>
      <c r="G25" s="504"/>
      <c r="H25" s="505" t="e">
        <f>F15/$H$5*(1+H4/100)</f>
        <v>#DIV/0!</v>
      </c>
      <c r="I25" s="45" t="s">
        <v>10</v>
      </c>
      <c r="J25" s="506" t="s">
        <v>602</v>
      </c>
      <c r="L25" s="487" t="s">
        <v>1199</v>
      </c>
      <c r="M25" s="227"/>
      <c r="N25" s="488" t="e">
        <f>MAX(N12-N24,N11)</f>
        <v>#DIV/0!</v>
      </c>
      <c r="O25" s="488" t="e">
        <f t="shared" ref="O25:Q25" si="5">MAX(O12-O24,O11)</f>
        <v>#DIV/0!</v>
      </c>
      <c r="P25" s="488" t="e">
        <f t="shared" si="5"/>
        <v>#DIV/0!</v>
      </c>
      <c r="Q25" s="488" t="e">
        <f t="shared" si="5"/>
        <v>#DIV/0!</v>
      </c>
      <c r="R25" s="507"/>
      <c r="S25" s="15"/>
      <c r="T25" s="508"/>
    </row>
    <row r="26" spans="1:21" ht="16.5" thickBot="1" x14ac:dyDescent="0.3">
      <c r="D26" s="18"/>
      <c r="E26" s="509" t="e">
        <f>G13/H5*(1+H4/100)</f>
        <v>#DIV/0!</v>
      </c>
      <c r="F26" s="510" t="e">
        <f>E9/$H$5*(1+H4/100)</f>
        <v>#DIV/0!</v>
      </c>
      <c r="G26" s="511" t="e">
        <f>F9/$H$5*(1+H4/100)</f>
        <v>#DIV/0!</v>
      </c>
      <c r="H26" s="512" t="e">
        <f>E15/$H$5*(1+H4/100)</f>
        <v>#DIV/0!</v>
      </c>
      <c r="I26" s="513" t="s">
        <v>9</v>
      </c>
      <c r="J26" s="29"/>
      <c r="L26" s="13" t="s">
        <v>1198</v>
      </c>
      <c r="N26" s="494" t="e">
        <f>N7/N25</f>
        <v>#DIV/0!</v>
      </c>
      <c r="O26" s="494" t="e">
        <f>O7/O25</f>
        <v>#DIV/0!</v>
      </c>
      <c r="P26" s="494" t="e">
        <f>P7/P25</f>
        <v>#DIV/0!</v>
      </c>
      <c r="Q26" s="494" t="e">
        <f>Q7/Q25</f>
        <v>#DIV/0!</v>
      </c>
      <c r="S26" s="15"/>
      <c r="T26" s="514"/>
    </row>
    <row r="27" spans="1:21" ht="16.5" thickBot="1" x14ac:dyDescent="0.3">
      <c r="D27" s="18"/>
      <c r="E27" s="515" t="s">
        <v>11</v>
      </c>
      <c r="F27" s="516" t="s">
        <v>9</v>
      </c>
      <c r="G27" s="517" t="s">
        <v>10</v>
      </c>
      <c r="H27" s="518" t="e">
        <f>G9/$H$5*(1+H4/100)</f>
        <v>#DIV/0!</v>
      </c>
      <c r="I27" s="519" t="s">
        <v>11</v>
      </c>
      <c r="J27" s="18"/>
      <c r="L27" s="487" t="s">
        <v>603</v>
      </c>
      <c r="M27" s="227"/>
      <c r="N27" s="488" t="e">
        <f>MAX(N12-N18-N13,3600/(3*$H$3))</f>
        <v>#DIV/0!</v>
      </c>
      <c r="O27" s="488" t="e">
        <f t="shared" ref="O27:Q27" si="6">MAX(O12-O18-O13,3600/(3*$H$3))</f>
        <v>#DIV/0!</v>
      </c>
      <c r="P27" s="488" t="e">
        <f t="shared" si="6"/>
        <v>#DIV/0!</v>
      </c>
      <c r="Q27" s="488" t="e">
        <f t="shared" si="6"/>
        <v>#DIV/0!</v>
      </c>
      <c r="S27" s="15"/>
    </row>
    <row r="28" spans="1:21" ht="16.5" thickBot="1" x14ac:dyDescent="0.3">
      <c r="A28" s="482"/>
      <c r="D28" s="18"/>
      <c r="E28" s="18"/>
      <c r="F28" s="18"/>
      <c r="G28" s="520" t="s">
        <v>604</v>
      </c>
      <c r="H28" s="18"/>
      <c r="I28" s="18"/>
      <c r="J28" s="18"/>
      <c r="L28" s="13" t="s">
        <v>1197</v>
      </c>
      <c r="N28" s="494" t="e">
        <f>N9/N27</f>
        <v>#DIV/0!</v>
      </c>
      <c r="O28" s="494" t="e">
        <f>O9/O27</f>
        <v>#DIV/0!</v>
      </c>
      <c r="P28" s="494" t="e">
        <f>P9/P27</f>
        <v>#DIV/0!</v>
      </c>
      <c r="Q28" s="494" t="e">
        <f>Q9/Q27</f>
        <v>#DIV/0!</v>
      </c>
      <c r="R28" s="507"/>
    </row>
    <row r="29" spans="1:21" ht="16.5" thickBot="1" x14ac:dyDescent="0.3">
      <c r="L29" s="521" t="s">
        <v>1195</v>
      </c>
      <c r="M29" s="484"/>
      <c r="N29" s="522" t="e">
        <f>IF(N10=0,0.0001,(N7+N8+N9)/(N23+N26+N28))</f>
        <v>#DIV/0!</v>
      </c>
      <c r="O29" s="522" t="e">
        <f t="shared" ref="O29:Q29" si="7">IF(O10=0,0.0001,(O7+O8+O9)/(O23+O26+O28))</f>
        <v>#DIV/0!</v>
      </c>
      <c r="P29" s="522" t="e">
        <f t="shared" si="7"/>
        <v>#DIV/0!</v>
      </c>
      <c r="Q29" s="522" t="e">
        <f t="shared" si="7"/>
        <v>#DIV/0!</v>
      </c>
      <c r="R29" s="523" t="s">
        <v>605</v>
      </c>
      <c r="S29" s="524" t="e">
        <f>MIN(O29+P10+Q10+N10,P29+O10+Q10+N10,Q29+O10+P10+N10,N29+O10+P10+Q10)</f>
        <v>#DIV/0!</v>
      </c>
      <c r="U29" s="46"/>
    </row>
    <row r="30" spans="1:21" ht="16.5" thickBot="1" x14ac:dyDescent="0.3">
      <c r="K30" s="525"/>
      <c r="L30" s="461" t="s">
        <v>1196</v>
      </c>
      <c r="M30" s="526"/>
      <c r="N30" s="527" t="e">
        <f>SUM(N7:N9)/N29</f>
        <v>#DIV/0!</v>
      </c>
      <c r="O30" s="528" t="e">
        <f>SUM(O7:O9)/O29</f>
        <v>#DIV/0!</v>
      </c>
      <c r="P30" s="528" t="e">
        <f>SUM(P7:P9)/P29</f>
        <v>#DIV/0!</v>
      </c>
      <c r="Q30" s="529" t="e">
        <f>SUM(Q7:Q9)/Q29</f>
        <v>#DIV/0!</v>
      </c>
      <c r="R30" s="530" t="s">
        <v>606</v>
      </c>
      <c r="S30" s="531" t="e">
        <f>SUM(N7:Q9)/S29</f>
        <v>#DIV/0!</v>
      </c>
      <c r="T30" s="466" t="s">
        <v>72</v>
      </c>
      <c r="U30" s="46"/>
    </row>
    <row r="31" spans="1:21" ht="19.5" thickBot="1" x14ac:dyDescent="0.35">
      <c r="L31" s="19" t="s">
        <v>504</v>
      </c>
      <c r="M31" s="248" t="s">
        <v>607</v>
      </c>
      <c r="N31" s="532" t="e">
        <f>IF(N10=0,0,3600/(N29-2)+225*(N30-1+SQRT((N30-1)^2+$H$3*N30/112.5))+5)</f>
        <v>#DIV/0!</v>
      </c>
      <c r="O31" s="532" t="e">
        <f>IF(O10=0,0,3600/(O29-2)+225*(O30-1+SQRT((O30-1)^2+$H$3*O30/112.5))+5)</f>
        <v>#DIV/0!</v>
      </c>
      <c r="P31" s="532" t="e">
        <f>IF(P10=0,0,3600/(P29-2)+225*(P30-1+SQRT((P30-1)^2+$H$3*P30/112.5))+5)</f>
        <v>#DIV/0!</v>
      </c>
      <c r="Q31" s="533" t="e">
        <f>IF(Q10=0,0,3600/(Q29-2)+225*(Q30-1+SQRT((Q30-1)^2+$H$3*Q30/112.5))+5)</f>
        <v>#DIV/0!</v>
      </c>
      <c r="R31" s="534" t="s">
        <v>608</v>
      </c>
      <c r="S31" s="535" t="e">
        <f>SUMPRODUCT(N10:Q10,N31:Q31)/SUM(N10:Q10)</f>
        <v>#DIV/0!</v>
      </c>
      <c r="T31" s="536" t="e">
        <f>IF(S30&gt;=1,"F",VLOOKUP(S31,E40:F45,2,TRUE))</f>
        <v>#DIV/0!</v>
      </c>
      <c r="U31" s="46"/>
    </row>
    <row r="32" spans="1:21" x14ac:dyDescent="0.25">
      <c r="N32" s="537"/>
      <c r="O32" s="537"/>
      <c r="P32" s="537"/>
      <c r="Q32" s="537"/>
    </row>
    <row r="33" spans="2:19" ht="15.75" x14ac:dyDescent="0.25">
      <c r="L33" s="538"/>
      <c r="M33" s="538"/>
      <c r="N33" s="538"/>
      <c r="O33" s="539"/>
      <c r="P33" s="539"/>
      <c r="Q33" s="539"/>
      <c r="S33" s="540"/>
    </row>
    <row r="34" spans="2:19" ht="15.75" x14ac:dyDescent="0.25">
      <c r="L34" s="538"/>
      <c r="M34" s="538"/>
      <c r="N34" s="538"/>
      <c r="O34" s="539"/>
      <c r="P34" s="539"/>
      <c r="Q34" s="539"/>
      <c r="S34" s="541"/>
    </row>
    <row r="35" spans="2:19" ht="15.75" x14ac:dyDescent="0.25">
      <c r="L35" s="538"/>
      <c r="M35" s="538"/>
      <c r="N35" s="538"/>
      <c r="O35" s="539"/>
      <c r="P35" s="539"/>
      <c r="Q35" s="539"/>
      <c r="S35" s="539"/>
    </row>
    <row r="36" spans="2:19" x14ac:dyDescent="0.25">
      <c r="D36" t="s">
        <v>609</v>
      </c>
    </row>
    <row r="37" spans="2:19" ht="15.75" thickBot="1" x14ac:dyDescent="0.3"/>
    <row r="38" spans="2:19" ht="15.75" thickBot="1" x14ac:dyDescent="0.3">
      <c r="E38" s="542" t="s">
        <v>1206</v>
      </c>
      <c r="F38" s="543"/>
      <c r="G38" s="544"/>
    </row>
    <row r="39" spans="2:19" ht="15.75" thickBot="1" x14ac:dyDescent="0.3">
      <c r="E39" s="545" t="s">
        <v>1207</v>
      </c>
      <c r="F39" s="219" t="s">
        <v>72</v>
      </c>
    </row>
    <row r="40" spans="2:19" x14ac:dyDescent="0.25">
      <c r="E40" s="546">
        <v>0</v>
      </c>
      <c r="F40" s="547" t="s">
        <v>16</v>
      </c>
    </row>
    <row r="41" spans="2:19" x14ac:dyDescent="0.25">
      <c r="E41" s="548">
        <v>10</v>
      </c>
      <c r="F41" s="549" t="s">
        <v>17</v>
      </c>
    </row>
    <row r="42" spans="2:19" x14ac:dyDescent="0.25">
      <c r="B42" s="550"/>
      <c r="E42" s="548">
        <v>15</v>
      </c>
      <c r="F42" s="549" t="s">
        <v>18</v>
      </c>
    </row>
    <row r="43" spans="2:19" x14ac:dyDescent="0.25">
      <c r="B43" s="551"/>
      <c r="C43" s="18"/>
      <c r="E43" s="548">
        <v>25</v>
      </c>
      <c r="F43" s="549" t="s">
        <v>19</v>
      </c>
      <c r="G43" s="18"/>
      <c r="H43" s="18"/>
    </row>
    <row r="44" spans="2:19" ht="15.75" x14ac:dyDescent="0.25">
      <c r="B44" s="47"/>
      <c r="C44" s="361"/>
      <c r="E44" s="552">
        <v>35</v>
      </c>
      <c r="F44" s="553" t="s">
        <v>20</v>
      </c>
      <c r="G44" s="554"/>
      <c r="H44" s="29"/>
    </row>
    <row r="45" spans="2:19" ht="16.5" thickBot="1" x14ac:dyDescent="0.3">
      <c r="B45" s="555"/>
      <c r="C45" s="24"/>
      <c r="E45" s="556">
        <v>50</v>
      </c>
      <c r="F45" s="557" t="s">
        <v>21</v>
      </c>
      <c r="G45" s="558"/>
      <c r="H45" s="23"/>
    </row>
    <row r="46" spans="2:19" ht="15.75" x14ac:dyDescent="0.25">
      <c r="B46" s="48"/>
      <c r="C46" s="14"/>
      <c r="D46" s="49"/>
      <c r="E46" s="20"/>
      <c r="F46" s="49"/>
      <c r="G46" s="49"/>
      <c r="H46" s="27"/>
    </row>
    <row r="47" spans="2:19" ht="15.75" x14ac:dyDescent="0.25">
      <c r="B47" s="48"/>
      <c r="C47" s="23"/>
      <c r="D47" s="50"/>
      <c r="E47" s="49"/>
      <c r="F47" s="50"/>
      <c r="G47" s="51"/>
      <c r="H47" s="29"/>
    </row>
    <row r="48" spans="2:19" ht="15.75" x14ac:dyDescent="0.25">
      <c r="B48" s="47"/>
      <c r="C48" s="52"/>
      <c r="D48" s="53"/>
      <c r="E48" s="54"/>
      <c r="F48" s="55"/>
      <c r="G48" s="56"/>
      <c r="H48" s="18"/>
    </row>
  </sheetData>
  <sheetProtection algorithmName="SHA-512" hashValue="BJmsdMMwN8oyJACMPsm2EwcXmjbkmmhUWOH+6C7PFwlgfgckNUaFJ/owyliwm1NYWr5RaeFvD8C2ldS2AtBm7g==" saltValue="9HFeBoPH77riDnw3Fpluwg==" spinCount="100000" sheet="1" objects="1" scenarios="1"/>
  <mergeCells count="6">
    <mergeCell ref="E20:I20"/>
    <mergeCell ref="L1:O1"/>
    <mergeCell ref="M4:Q4"/>
    <mergeCell ref="L7:L10"/>
    <mergeCell ref="L11:L12"/>
    <mergeCell ref="L13:L20"/>
  </mergeCells>
  <conditionalFormatting sqref="N30:Q30">
    <cfRule type="cellIs" dxfId="90" priority="2" operator="greaterThan">
      <formula>1</formula>
    </cfRule>
  </conditionalFormatting>
  <conditionalFormatting sqref="T31">
    <cfRule type="cellIs" dxfId="89" priority="1" operator="equal">
      <formula>"F"</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AG85"/>
  <sheetViews>
    <sheetView topLeftCell="G50" zoomScale="120" zoomScaleNormal="120" workbookViewId="0">
      <selection activeCell="X52" sqref="X52"/>
    </sheetView>
  </sheetViews>
  <sheetFormatPr defaultColWidth="9.140625" defaultRowHeight="15" x14ac:dyDescent="0.25"/>
  <cols>
    <col min="1" max="1" width="1.42578125" style="1" customWidth="1"/>
    <col min="2" max="2" width="7.42578125" style="1" customWidth="1"/>
    <col min="3" max="3" width="47.42578125" style="1" customWidth="1"/>
    <col min="4" max="4" width="9.140625" style="1"/>
    <col min="5" max="5" width="10.140625" style="1" customWidth="1"/>
    <col min="6" max="6" width="25.42578125" style="1" customWidth="1"/>
    <col min="7" max="7" width="27.42578125" style="1" customWidth="1"/>
    <col min="8" max="8" width="6.140625" style="1" customWidth="1"/>
    <col min="9" max="9" width="1.42578125" style="1" customWidth="1"/>
    <col min="10" max="10" width="40.85546875" style="1" customWidth="1"/>
    <col min="11" max="11" width="8.42578125" style="1" customWidth="1"/>
    <col min="12" max="12" width="12.85546875" style="1" customWidth="1"/>
    <col min="13" max="13" width="10.28515625" style="1" customWidth="1"/>
    <col min="14" max="14" width="11.140625" style="1" customWidth="1"/>
    <col min="15" max="15" width="10" style="1" customWidth="1"/>
    <col min="16" max="16" width="9.140625" style="1"/>
    <col min="17" max="17" width="10" style="1" bestFit="1" customWidth="1"/>
    <col min="18" max="19" width="9.140625" style="1"/>
    <col min="20" max="20" width="12.42578125" style="1" customWidth="1"/>
    <col min="21" max="21" width="7.7109375" style="1" customWidth="1"/>
    <col min="22" max="22" width="8.85546875" style="1" customWidth="1"/>
    <col min="23" max="23" width="0.28515625" style="1" hidden="1" customWidth="1"/>
    <col min="24" max="24" width="6.42578125" style="1" customWidth="1"/>
    <col min="25" max="25" width="10.7109375" style="1" customWidth="1"/>
    <col min="26" max="16384" width="9.140625" style="1"/>
  </cols>
  <sheetData>
    <row r="1" spans="1:25" ht="4.5" hidden="1" customHeight="1" thickBot="1" x14ac:dyDescent="0.3"/>
    <row r="2" spans="1:25" ht="4.5" customHeight="1" thickBot="1" x14ac:dyDescent="0.3">
      <c r="A2"/>
      <c r="B2"/>
      <c r="C2"/>
      <c r="D2"/>
      <c r="E2"/>
      <c r="F2"/>
      <c r="G2"/>
      <c r="H2"/>
      <c r="I2"/>
      <c r="J2"/>
      <c r="K2"/>
      <c r="L2"/>
      <c r="M2"/>
      <c r="N2"/>
      <c r="O2"/>
      <c r="P2"/>
      <c r="Q2"/>
      <c r="R2"/>
      <c r="S2"/>
      <c r="T2"/>
      <c r="U2"/>
      <c r="V2"/>
      <c r="W2"/>
      <c r="X2"/>
      <c r="Y2"/>
    </row>
    <row r="3" spans="1:25" ht="19.5" thickBot="1" x14ac:dyDescent="0.35">
      <c r="A3"/>
      <c r="B3" s="1685" t="s">
        <v>0</v>
      </c>
      <c r="C3" s="1686"/>
      <c r="D3" s="1687"/>
      <c r="E3"/>
      <c r="F3"/>
      <c r="G3"/>
      <c r="H3"/>
      <c r="I3"/>
      <c r="J3" s="1685" t="s">
        <v>1067</v>
      </c>
      <c r="K3" s="1686"/>
      <c r="L3" s="1686"/>
      <c r="M3" s="1686"/>
      <c r="N3" s="1686"/>
      <c r="O3" s="1686"/>
      <c r="P3" s="1686"/>
      <c r="Q3" s="1686"/>
      <c r="R3" s="1686"/>
      <c r="S3" s="1686"/>
      <c r="T3" s="1686"/>
      <c r="U3" s="1686"/>
      <c r="V3" s="1687"/>
      <c r="W3"/>
      <c r="X3"/>
      <c r="Y3"/>
    </row>
    <row r="4" spans="1:25" ht="5.25" customHeight="1" thickBot="1" x14ac:dyDescent="0.3">
      <c r="A4"/>
      <c r="B4"/>
      <c r="C4"/>
      <c r="D4"/>
      <c r="E4"/>
      <c r="F4"/>
      <c r="G4"/>
      <c r="H4"/>
      <c r="I4"/>
      <c r="J4"/>
      <c r="K4"/>
      <c r="L4"/>
      <c r="M4"/>
      <c r="N4"/>
      <c r="O4"/>
      <c r="P4"/>
      <c r="Q4"/>
      <c r="R4"/>
      <c r="S4"/>
      <c r="T4"/>
      <c r="U4"/>
      <c r="V4"/>
      <c r="W4"/>
      <c r="X4"/>
      <c r="Y4"/>
    </row>
    <row r="5" spans="1:25" ht="16.5" thickBot="1" x14ac:dyDescent="0.3">
      <c r="A5"/>
      <c r="B5" s="560" t="s">
        <v>1043</v>
      </c>
      <c r="C5" s="561"/>
      <c r="D5" s="562">
        <f>'GLOBAL INPUTS'!F55</f>
        <v>0</v>
      </c>
      <c r="E5" s="563"/>
      <c r="F5" s="563"/>
      <c r="G5" s="564"/>
      <c r="H5" s="276"/>
      <c r="I5" s="565"/>
      <c r="J5" s="566" t="s">
        <v>1132</v>
      </c>
      <c r="K5" s="567">
        <v>2</v>
      </c>
      <c r="L5" s="567">
        <v>2</v>
      </c>
      <c r="M5" s="568">
        <v>2</v>
      </c>
      <c r="N5" s="569">
        <v>4</v>
      </c>
      <c r="O5" s="567">
        <v>4</v>
      </c>
      <c r="P5" s="568">
        <v>4</v>
      </c>
      <c r="Q5" s="569">
        <v>6</v>
      </c>
      <c r="R5" s="567">
        <v>6</v>
      </c>
      <c r="S5" s="568">
        <v>6</v>
      </c>
      <c r="T5" s="569">
        <v>8</v>
      </c>
      <c r="U5" s="567">
        <v>8</v>
      </c>
      <c r="V5" s="568">
        <v>8</v>
      </c>
      <c r="W5"/>
      <c r="X5" s="1664"/>
      <c r="Y5" s="1664"/>
    </row>
    <row r="6" spans="1:25" ht="15.75" x14ac:dyDescent="0.25">
      <c r="A6"/>
      <c r="B6" s="17" t="s">
        <v>1089</v>
      </c>
      <c r="C6" s="570"/>
      <c r="D6" s="571">
        <f>'GLOBAL INPUTS'!F56</f>
        <v>0</v>
      </c>
      <c r="E6" s="483"/>
      <c r="F6"/>
      <c r="G6" s="276"/>
      <c r="H6" s="572"/>
      <c r="I6"/>
      <c r="J6" s="573" t="s">
        <v>1133</v>
      </c>
      <c r="K6" s="32">
        <v>4</v>
      </c>
      <c r="L6" s="32">
        <v>6</v>
      </c>
      <c r="M6" s="574">
        <v>8</v>
      </c>
      <c r="N6" s="575">
        <v>6</v>
      </c>
      <c r="O6" s="32">
        <v>8</v>
      </c>
      <c r="P6" s="574">
        <v>2</v>
      </c>
      <c r="Q6" s="575">
        <v>8</v>
      </c>
      <c r="R6" s="32">
        <v>2</v>
      </c>
      <c r="S6" s="574">
        <v>4</v>
      </c>
      <c r="T6" s="575">
        <v>2</v>
      </c>
      <c r="U6" s="32">
        <v>4</v>
      </c>
      <c r="V6" s="574">
        <v>6</v>
      </c>
      <c r="W6"/>
      <c r="X6" s="1681"/>
      <c r="Y6" s="1681"/>
    </row>
    <row r="7" spans="1:25" ht="15.75" thickBot="1" x14ac:dyDescent="0.3">
      <c r="A7"/>
      <c r="B7" s="17" t="s">
        <v>1044</v>
      </c>
      <c r="C7" s="570"/>
      <c r="D7" s="576">
        <f>'GLOBAL INPUTS'!F57</f>
        <v>0</v>
      </c>
      <c r="E7" s="212" t="s">
        <v>1035</v>
      </c>
      <c r="F7"/>
      <c r="G7"/>
      <c r="H7"/>
      <c r="I7"/>
      <c r="J7" s="577" t="s">
        <v>8</v>
      </c>
      <c r="K7" s="18" t="s">
        <v>9</v>
      </c>
      <c r="L7" s="18" t="s">
        <v>10</v>
      </c>
      <c r="M7" s="578" t="s">
        <v>11</v>
      </c>
      <c r="N7" s="579" t="s">
        <v>9</v>
      </c>
      <c r="O7" s="18" t="s">
        <v>10</v>
      </c>
      <c r="P7" s="578" t="s">
        <v>11</v>
      </c>
      <c r="Q7" s="579" t="s">
        <v>9</v>
      </c>
      <c r="R7" s="18" t="s">
        <v>10</v>
      </c>
      <c r="S7" s="578" t="s">
        <v>11</v>
      </c>
      <c r="T7" s="579" t="s">
        <v>9</v>
      </c>
      <c r="U7" s="18" t="s">
        <v>10</v>
      </c>
      <c r="V7" s="578" t="s">
        <v>11</v>
      </c>
      <c r="W7"/>
      <c r="X7"/>
      <c r="Y7" s="14"/>
    </row>
    <row r="8" spans="1:25" ht="16.5" thickBot="1" x14ac:dyDescent="0.3">
      <c r="A8"/>
      <c r="B8" s="17" t="s">
        <v>469</v>
      </c>
      <c r="C8" s="570"/>
      <c r="D8" s="576">
        <f>'GLOBAL INPUTS'!F58</f>
        <v>0</v>
      </c>
      <c r="E8" s="212"/>
      <c r="F8"/>
      <c r="G8"/>
      <c r="H8"/>
      <c r="I8"/>
      <c r="J8" s="580" t="s">
        <v>41</v>
      </c>
      <c r="K8" s="581"/>
      <c r="L8" s="582">
        <f>D6</f>
        <v>0</v>
      </c>
      <c r="M8" s="583"/>
      <c r="N8" s="584"/>
      <c r="O8" s="585" t="str">
        <f>IF($D$6="SB","WB",IF($D$6="NB","EB",IF($D$6="EB","SB","NB")))</f>
        <v>NB</v>
      </c>
      <c r="P8" s="583"/>
      <c r="Q8" s="584"/>
      <c r="R8" s="585" t="str">
        <f>IF($D$6="SB","NB",IF($D$6="NB","SB",IF($D$6="EB","WB","EB")))</f>
        <v>EB</v>
      </c>
      <c r="S8" s="583"/>
      <c r="T8" s="584"/>
      <c r="U8" s="585" t="str">
        <f>IF($D$6="SB","EB",IF($D$6="NB","WB",IF($D$6="EB","NB","SB")))</f>
        <v>SB</v>
      </c>
      <c r="V8" s="586"/>
      <c r="W8"/>
      <c r="X8"/>
      <c r="Y8" s="14"/>
    </row>
    <row r="9" spans="1:25" ht="16.5" thickBot="1" x14ac:dyDescent="0.3">
      <c r="A9"/>
      <c r="B9" s="17" t="s">
        <v>1002</v>
      </c>
      <c r="C9" s="570"/>
      <c r="D9" s="576">
        <f>'GLOBAL INPUTS'!F59</f>
        <v>0</v>
      </c>
      <c r="E9" s="212" t="s">
        <v>2</v>
      </c>
      <c r="F9"/>
      <c r="G9"/>
      <c r="H9"/>
      <c r="I9"/>
      <c r="J9" s="587" t="s">
        <v>1090</v>
      </c>
      <c r="K9" s="588">
        <f>'GLOBAL INPUTS'!S56</f>
        <v>0</v>
      </c>
      <c r="L9" s="589">
        <f>'GLOBAL INPUTS'!S57</f>
        <v>0</v>
      </c>
      <c r="M9" s="588">
        <f>'GLOBAL INPUTS'!S58</f>
        <v>0</v>
      </c>
      <c r="N9" s="588">
        <f>'GLOBAL INPUTS'!S59</f>
        <v>0</v>
      </c>
      <c r="O9" s="588">
        <f>'GLOBAL INPUTS'!S60</f>
        <v>0</v>
      </c>
      <c r="P9" s="588">
        <f>'GLOBAL INPUTS'!S61</f>
        <v>0</v>
      </c>
      <c r="Q9" s="588">
        <f>'GLOBAL INPUTS'!S62</f>
        <v>0</v>
      </c>
      <c r="R9" s="588">
        <f>'GLOBAL INPUTS'!S63</f>
        <v>0</v>
      </c>
      <c r="S9" s="588">
        <f>'GLOBAL INPUTS'!S64</f>
        <v>0</v>
      </c>
      <c r="T9" s="588">
        <f>'GLOBAL INPUTS'!S65</f>
        <v>0</v>
      </c>
      <c r="U9" s="588">
        <f>'GLOBAL INPUTS'!S66</f>
        <v>0</v>
      </c>
      <c r="V9" s="588">
        <f>'GLOBAL INPUTS'!S67</f>
        <v>0</v>
      </c>
      <c r="W9" s="590">
        <f>'GLOBAL INPUTS'!R24</f>
        <v>0</v>
      </c>
      <c r="X9"/>
      <c r="Y9" s="14"/>
    </row>
    <row r="10" spans="1:25" ht="16.5" thickBot="1" x14ac:dyDescent="0.3">
      <c r="A10"/>
      <c r="B10" s="591" t="s">
        <v>1045</v>
      </c>
      <c r="C10" s="578"/>
      <c r="D10" s="576">
        <f>'GLOBAL INPUTS'!F60</f>
        <v>0</v>
      </c>
      <c r="E10" s="212" t="s">
        <v>3</v>
      </c>
      <c r="F10"/>
      <c r="G10"/>
      <c r="H10"/>
      <c r="I10"/>
      <c r="J10" s="592" t="s">
        <v>1066</v>
      </c>
      <c r="K10" s="593">
        <f>K9*$D$20</f>
        <v>0</v>
      </c>
      <c r="L10" s="593">
        <f t="shared" ref="L10:V10" si="0">L9*$D$20</f>
        <v>0</v>
      </c>
      <c r="M10" s="593">
        <f t="shared" si="0"/>
        <v>0</v>
      </c>
      <c r="N10" s="593">
        <f t="shared" si="0"/>
        <v>0</v>
      </c>
      <c r="O10" s="593">
        <f t="shared" si="0"/>
        <v>0</v>
      </c>
      <c r="P10" s="593">
        <f t="shared" si="0"/>
        <v>0</v>
      </c>
      <c r="Q10" s="593">
        <f t="shared" si="0"/>
        <v>0</v>
      </c>
      <c r="R10" s="593">
        <f t="shared" si="0"/>
        <v>0</v>
      </c>
      <c r="S10" s="593">
        <f t="shared" si="0"/>
        <v>0</v>
      </c>
      <c r="T10" s="593">
        <f t="shared" si="0"/>
        <v>0</v>
      </c>
      <c r="U10" s="593">
        <f t="shared" si="0"/>
        <v>0</v>
      </c>
      <c r="V10" s="593">
        <f t="shared" si="0"/>
        <v>0</v>
      </c>
      <c r="W10"/>
      <c r="X10"/>
      <c r="Y10" s="14"/>
    </row>
    <row r="11" spans="1:25" x14ac:dyDescent="0.25">
      <c r="A11"/>
      <c r="B11" s="17" t="s">
        <v>1046</v>
      </c>
      <c r="C11" s="570"/>
      <c r="D11" s="576">
        <f>'GLOBAL INPUTS'!F61</f>
        <v>0</v>
      </c>
      <c r="E11" s="212" t="s">
        <v>1041</v>
      </c>
      <c r="F11"/>
      <c r="G11"/>
      <c r="H11"/>
      <c r="I11"/>
      <c r="J11" s="594" t="s">
        <v>31</v>
      </c>
      <c r="K11" s="595" t="e">
        <f t="shared" ref="K11:V11" si="1">ROUND(K10/$D$8,0)</f>
        <v>#DIV/0!</v>
      </c>
      <c r="L11" s="595" t="e">
        <f t="shared" si="1"/>
        <v>#DIV/0!</v>
      </c>
      <c r="M11" s="595" t="e">
        <f t="shared" si="1"/>
        <v>#DIV/0!</v>
      </c>
      <c r="N11" s="595" t="e">
        <f t="shared" si="1"/>
        <v>#DIV/0!</v>
      </c>
      <c r="O11" s="595" t="e">
        <f t="shared" si="1"/>
        <v>#DIV/0!</v>
      </c>
      <c r="P11" s="595" t="e">
        <f t="shared" si="1"/>
        <v>#DIV/0!</v>
      </c>
      <c r="Q11" s="595" t="e">
        <f t="shared" si="1"/>
        <v>#DIV/0!</v>
      </c>
      <c r="R11" s="595" t="e">
        <f t="shared" si="1"/>
        <v>#DIV/0!</v>
      </c>
      <c r="S11" s="595" t="e">
        <f t="shared" si="1"/>
        <v>#DIV/0!</v>
      </c>
      <c r="T11" s="595" t="e">
        <f t="shared" si="1"/>
        <v>#DIV/0!</v>
      </c>
      <c r="U11" s="595" t="e">
        <f t="shared" si="1"/>
        <v>#DIV/0!</v>
      </c>
      <c r="V11" s="595" t="e">
        <f t="shared" si="1"/>
        <v>#DIV/0!</v>
      </c>
      <c r="W11"/>
      <c r="X11"/>
      <c r="Y11" s="14"/>
    </row>
    <row r="12" spans="1:25" ht="16.5" thickBot="1" x14ac:dyDescent="0.3">
      <c r="A12"/>
      <c r="B12" s="17" t="s">
        <v>1208</v>
      </c>
      <c r="C12" s="570"/>
      <c r="D12" s="576">
        <v>40</v>
      </c>
      <c r="E12" s="212" t="s">
        <v>3</v>
      </c>
      <c r="F12" s="27"/>
      <c r="G12"/>
      <c r="H12"/>
      <c r="I12"/>
      <c r="J12" s="596" t="s">
        <v>57</v>
      </c>
      <c r="K12" s="597" t="e">
        <f t="shared" ref="K12:V12" si="2">ROUND(K11*(1+$D$9/100),0)</f>
        <v>#DIV/0!</v>
      </c>
      <c r="L12" s="597" t="e">
        <f t="shared" si="2"/>
        <v>#DIV/0!</v>
      </c>
      <c r="M12" s="597" t="e">
        <f t="shared" si="2"/>
        <v>#DIV/0!</v>
      </c>
      <c r="N12" s="597" t="e">
        <f t="shared" si="2"/>
        <v>#DIV/0!</v>
      </c>
      <c r="O12" s="597" t="e">
        <f t="shared" si="2"/>
        <v>#DIV/0!</v>
      </c>
      <c r="P12" s="597" t="e">
        <f t="shared" si="2"/>
        <v>#DIV/0!</v>
      </c>
      <c r="Q12" s="597" t="e">
        <f t="shared" si="2"/>
        <v>#DIV/0!</v>
      </c>
      <c r="R12" s="597" t="e">
        <f t="shared" si="2"/>
        <v>#DIV/0!</v>
      </c>
      <c r="S12" s="597" t="e">
        <f t="shared" si="2"/>
        <v>#DIV/0!</v>
      </c>
      <c r="T12" s="597" t="e">
        <f t="shared" si="2"/>
        <v>#DIV/0!</v>
      </c>
      <c r="U12" s="597" t="e">
        <f t="shared" si="2"/>
        <v>#DIV/0!</v>
      </c>
      <c r="V12" s="597" t="e">
        <f t="shared" si="2"/>
        <v>#DIV/0!</v>
      </c>
      <c r="W12"/>
      <c r="X12"/>
      <c r="Y12" s="14"/>
    </row>
    <row r="13" spans="1:25" ht="15.75" thickBot="1" x14ac:dyDescent="0.3">
      <c r="A13"/>
      <c r="B13" s="591" t="s">
        <v>1209</v>
      </c>
      <c r="C13" s="598"/>
      <c r="D13" s="576" t="s">
        <v>69</v>
      </c>
      <c r="E13" s="13"/>
      <c r="F13"/>
      <c r="G13"/>
      <c r="H13"/>
      <c r="I13"/>
      <c r="J13" s="599" t="s">
        <v>1065</v>
      </c>
      <c r="K13" s="600" t="e">
        <f>K67+N68</f>
        <v>#N/A</v>
      </c>
      <c r="L13" s="601" t="e">
        <f>K67+T67</f>
        <v>#N/A</v>
      </c>
      <c r="M13" s="602" t="e">
        <f>K67+T69</f>
        <v>#N/A</v>
      </c>
      <c r="N13" s="600" t="e">
        <f>N70+K70+T67</f>
        <v>#DIV/0!</v>
      </c>
      <c r="O13" s="601" t="e">
        <f>N70+K70+T69</f>
        <v>#DIV/0!</v>
      </c>
      <c r="P13" s="602" t="e">
        <f>N70</f>
        <v>#DIV/0!</v>
      </c>
      <c r="Q13" s="600" t="e">
        <f>Q67+T68</f>
        <v>#N/A</v>
      </c>
      <c r="R13" s="601" t="e">
        <f>Q67+N67</f>
        <v>#N/A</v>
      </c>
      <c r="S13" s="602" t="e">
        <f>Q67+N69</f>
        <v>#N/A</v>
      </c>
      <c r="T13" s="600" t="e">
        <f>T70+Q70+N67</f>
        <v>#DIV/0!</v>
      </c>
      <c r="U13" s="601" t="e">
        <f>T70+Q70+N69</f>
        <v>#DIV/0!</v>
      </c>
      <c r="V13" s="602" t="e">
        <f>T70</f>
        <v>#DIV/0!</v>
      </c>
      <c r="W13"/>
      <c r="X13"/>
      <c r="Y13" s="14"/>
    </row>
    <row r="14" spans="1:25" ht="15.75" thickBot="1" x14ac:dyDescent="0.3">
      <c r="A14"/>
      <c r="B14" s="17" t="s">
        <v>1048</v>
      </c>
      <c r="C14" s="570"/>
      <c r="D14" s="576" t="s">
        <v>69</v>
      </c>
      <c r="E14" s="13"/>
      <c r="F14"/>
      <c r="G14"/>
      <c r="H14"/>
      <c r="I14"/>
      <c r="J14" s="603" t="s">
        <v>1064</v>
      </c>
      <c r="K14" s="322"/>
      <c r="L14" s="322"/>
      <c r="M14" s="604"/>
      <c r="N14" s="605" t="e">
        <f>2*D10/(D7*1.47)</f>
        <v>#DIV/0!</v>
      </c>
      <c r="O14" s="322" t="e">
        <f>N14</f>
        <v>#DIV/0!</v>
      </c>
      <c r="P14" s="604"/>
      <c r="Q14" s="605"/>
      <c r="R14" s="322"/>
      <c r="S14" s="604"/>
      <c r="T14" s="605" t="e">
        <f>N14</f>
        <v>#DIV/0!</v>
      </c>
      <c r="U14" s="322" t="e">
        <f>T14</f>
        <v>#DIV/0!</v>
      </c>
      <c r="V14" s="604"/>
      <c r="W14"/>
      <c r="X14"/>
      <c r="Y14"/>
    </row>
    <row r="15" spans="1:25" ht="16.5" thickBot="1" x14ac:dyDescent="0.3">
      <c r="A15"/>
      <c r="B15" s="17" t="s">
        <v>1049</v>
      </c>
      <c r="C15" s="570"/>
      <c r="D15" s="576">
        <f>'GLOBAL INPUTS'!F63</f>
        <v>0</v>
      </c>
      <c r="E15" s="212" t="s">
        <v>708</v>
      </c>
      <c r="F15"/>
      <c r="G15"/>
      <c r="H15"/>
      <c r="I15"/>
      <c r="J15" s="606" t="s">
        <v>1063</v>
      </c>
      <c r="K15" s="607" t="e">
        <f t="shared" ref="K15:V15" si="3">K13+K14</f>
        <v>#N/A</v>
      </c>
      <c r="L15" s="608" t="e">
        <f t="shared" si="3"/>
        <v>#N/A</v>
      </c>
      <c r="M15" s="609" t="e">
        <f t="shared" si="3"/>
        <v>#N/A</v>
      </c>
      <c r="N15" s="607" t="e">
        <f t="shared" si="3"/>
        <v>#DIV/0!</v>
      </c>
      <c r="O15" s="608" t="e">
        <f t="shared" si="3"/>
        <v>#DIV/0!</v>
      </c>
      <c r="P15" s="609" t="e">
        <f t="shared" si="3"/>
        <v>#DIV/0!</v>
      </c>
      <c r="Q15" s="607" t="e">
        <f t="shared" si="3"/>
        <v>#N/A</v>
      </c>
      <c r="R15" s="608" t="e">
        <f t="shared" si="3"/>
        <v>#N/A</v>
      </c>
      <c r="S15" s="609" t="e">
        <f t="shared" si="3"/>
        <v>#N/A</v>
      </c>
      <c r="T15" s="607" t="e">
        <f t="shared" si="3"/>
        <v>#DIV/0!</v>
      </c>
      <c r="U15" s="608" t="e">
        <f t="shared" si="3"/>
        <v>#DIV/0!</v>
      </c>
      <c r="V15" s="609" t="e">
        <f t="shared" si="3"/>
        <v>#DIV/0!</v>
      </c>
      <c r="W15"/>
      <c r="X15"/>
      <c r="Y15"/>
    </row>
    <row r="16" spans="1:25" ht="16.5" thickBot="1" x14ac:dyDescent="0.3">
      <c r="A16"/>
      <c r="B16" s="17" t="s">
        <v>1050</v>
      </c>
      <c r="C16" s="570"/>
      <c r="D16" s="576">
        <f>'GLOBAL INPUTS'!F64</f>
        <v>0</v>
      </c>
      <c r="E16" s="212" t="s">
        <v>708</v>
      </c>
      <c r="F16"/>
      <c r="G16"/>
      <c r="H16"/>
      <c r="I16"/>
      <c r="J16" s="603" t="s">
        <v>1062</v>
      </c>
      <c r="K16" s="203"/>
      <c r="L16" s="610" t="e">
        <f>SUMPRODUCT(K12:M12,K15:M15)/SUM(K12:M12)</f>
        <v>#DIV/0!</v>
      </c>
      <c r="M16" s="611"/>
      <c r="N16" s="612"/>
      <c r="O16" s="610" t="e">
        <f>SUMPRODUCT(N12:P12,N15:P15)/SUM(N12:P12)</f>
        <v>#DIV/0!</v>
      </c>
      <c r="P16" s="611"/>
      <c r="Q16" s="612"/>
      <c r="R16" s="610" t="e">
        <f>SUMPRODUCT(Q12:S12,Q15:S15)/SUM(Q12:S12)</f>
        <v>#DIV/0!</v>
      </c>
      <c r="S16" s="611"/>
      <c r="T16" s="612"/>
      <c r="U16" s="610" t="e">
        <f>SUMPRODUCT(T12:V12,T15:V15)/SUM(T12:V12)</f>
        <v>#DIV/0!</v>
      </c>
      <c r="V16" s="613"/>
      <c r="W16"/>
      <c r="X16"/>
      <c r="Y16" s="18"/>
    </row>
    <row r="17" spans="1:25" ht="15.75" thickBot="1" x14ac:dyDescent="0.3">
      <c r="A17"/>
      <c r="B17" s="17" t="s">
        <v>61</v>
      </c>
      <c r="C17" s="570"/>
      <c r="D17" s="576">
        <f>'GLOBAL INPUTS'!F65</f>
        <v>0</v>
      </c>
      <c r="E17" s="212" t="s">
        <v>1006</v>
      </c>
      <c r="F17"/>
      <c r="G17"/>
      <c r="H17"/>
      <c r="I17"/>
      <c r="J17" s="614" t="s">
        <v>1211</v>
      </c>
      <c r="K17" s="615" t="e">
        <f>IF(K22&gt;=1,"F",VLOOKUP(K15,$G$22:$H$27,2,TRUE))</f>
        <v>#DIV/0!</v>
      </c>
      <c r="L17" s="615" t="e">
        <f>IF(L22&gt;=1,"F",VLOOKUP($L$15,$G$22:$H$27,2,TRUE))</f>
        <v>#DIV/0!</v>
      </c>
      <c r="M17" s="615" t="e">
        <f>IF(M22&gt;=1,"F",VLOOKUP($M$15,$G$22:$H$27,2,TRUE))</f>
        <v>#DIV/0!</v>
      </c>
      <c r="N17" s="615" t="e">
        <f>IF(N22&gt;=1,"F",VLOOKUP($N$15,$G$22:$H$27,2,TRUE))</f>
        <v>#DIV/0!</v>
      </c>
      <c r="O17" s="615" t="e">
        <f>IF(O22&gt;=1,"F",VLOOKUP($O$15,$G$22:$H$27,2,TRUE))</f>
        <v>#DIV/0!</v>
      </c>
      <c r="P17" s="615" t="e">
        <f>IF(P22&gt;=1,"F",VLOOKUP($P$15,$G$22:$H$27,2,TRUE))</f>
        <v>#DIV/0!</v>
      </c>
      <c r="Q17" s="615" t="e">
        <f>IF(Q22&gt;=1,"F",VLOOKUP($Q$15,$G$22:$H$27,2,TRUE))</f>
        <v>#DIV/0!</v>
      </c>
      <c r="R17" s="615" t="e">
        <f>IF(R22&gt;=1,"F",VLOOKUP($R$15,$G$22:$H$27,2,TRUE))</f>
        <v>#DIV/0!</v>
      </c>
      <c r="S17" s="615" t="e">
        <f>IF(S22&gt;=1,"F",VLOOKUP($S$15,$G$22:$H$27,2,TRUE))</f>
        <v>#DIV/0!</v>
      </c>
      <c r="T17" s="615" t="e">
        <f>IF(T22&gt;=1,"F",VLOOKUP($T$15,$G$22:$H$27,2,TRUE))</f>
        <v>#DIV/0!</v>
      </c>
      <c r="U17" s="615" t="e">
        <f>IF(U22&gt;=1,"F",VLOOKUP($U$15,$G$22:$H$27,2,TRUE))</f>
        <v>#DIV/0!</v>
      </c>
      <c r="V17" s="502" t="e">
        <f>VLOOKUP(V15, $G$22:$H$27,2,TRUE)</f>
        <v>#DIV/0!</v>
      </c>
      <c r="W17"/>
      <c r="X17"/>
      <c r="Y17"/>
    </row>
    <row r="18" spans="1:25" ht="21.75" thickBot="1" x14ac:dyDescent="0.4">
      <c r="A18"/>
      <c r="B18" s="17" t="s">
        <v>1042</v>
      </c>
      <c r="C18" s="570"/>
      <c r="D18" s="576">
        <f>'GLOBAL INPUTS'!F66</f>
        <v>0</v>
      </c>
      <c r="E18" s="13"/>
      <c r="F18"/>
      <c r="G18" s="1688" t="s">
        <v>88</v>
      </c>
      <c r="H18" s="1689"/>
      <c r="I18"/>
      <c r="J18" s="15"/>
      <c r="K18" s="14"/>
      <c r="L18" s="617"/>
      <c r="M18" s="193" t="s">
        <v>76</v>
      </c>
      <c r="N18" s="618"/>
      <c r="O18" s="619" t="e">
        <f>SUMPRODUCT(K13:V13,K10:V10)/SUM(K10:V10)</f>
        <v>#N/A</v>
      </c>
      <c r="P18" s="620" t="e">
        <f>VLOOKUP(O18,G22:H27,2,TRUE)</f>
        <v>#N/A</v>
      </c>
      <c r="Q18" s="262" t="s">
        <v>40</v>
      </c>
      <c r="R18" s="420"/>
      <c r="S18" s="420"/>
      <c r="T18" s="421"/>
      <c r="U18" s="621" t="e">
        <f>SUMPRODUCT(K12:V12,K15:V15)/SUM(K12:V12)</f>
        <v>#DIV/0!</v>
      </c>
      <c r="V18" s="622" t="e">
        <f>VLOOKUP(U18,G22:H27,2,TRUE)</f>
        <v>#DIV/0!</v>
      </c>
      <c r="W18"/>
      <c r="X18"/>
      <c r="Y18"/>
    </row>
    <row r="19" spans="1:25" ht="21.75" thickBot="1" x14ac:dyDescent="0.4">
      <c r="A19"/>
      <c r="B19" s="1691" t="str">
        <f>'GLOBAL INPUTS'!D67</f>
        <v xml:space="preserve">Coordination arrival type on major road (1=poor; 6=outstanding) </v>
      </c>
      <c r="C19" s="1692"/>
      <c r="D19" s="576">
        <f>'GLOBAL INPUTS'!F67</f>
        <v>0</v>
      </c>
      <c r="E19" s="13"/>
      <c r="F19"/>
      <c r="G19" s="427"/>
      <c r="H19" s="428"/>
      <c r="I19"/>
      <c r="J19" s="15"/>
      <c r="K19" s="14"/>
      <c r="L19" s="14"/>
      <c r="M19" s="195"/>
      <c r="N19" s="14"/>
      <c r="O19" s="623"/>
      <c r="P19" s="624"/>
      <c r="Q19" s="625"/>
      <c r="R19" s="424"/>
      <c r="S19" s="424"/>
      <c r="T19" s="425"/>
      <c r="U19" s="626"/>
      <c r="V19" s="627"/>
      <c r="W19"/>
      <c r="X19"/>
      <c r="Y19"/>
    </row>
    <row r="20" spans="1:25" ht="19.5" thickBot="1" x14ac:dyDescent="0.35">
      <c r="A20"/>
      <c r="B20" s="1691" t="s">
        <v>1051</v>
      </c>
      <c r="C20" s="1692"/>
      <c r="D20" s="576">
        <f>'GLOBAL INPUTS'!F68</f>
        <v>0</v>
      </c>
      <c r="E20" s="28"/>
      <c r="F20"/>
      <c r="G20" s="1683" t="s">
        <v>78</v>
      </c>
      <c r="H20" s="1684"/>
      <c r="I20" s="628"/>
      <c r="J20" s="15"/>
      <c r="K20" s="14"/>
      <c r="L20" s="14"/>
      <c r="M20" s="14"/>
      <c r="N20" s="14"/>
      <c r="O20" s="14"/>
      <c r="P20" s="14"/>
      <c r="Q20" s="262" t="s">
        <v>66</v>
      </c>
      <c r="R20" s="629"/>
      <c r="S20" s="629"/>
      <c r="T20" s="630"/>
      <c r="U20" s="1565" t="e">
        <f>IF(MAX(K75,Q75,N73,T73)&gt;D11,"YES-LOS F", "NO")</f>
        <v>#DIV/0!</v>
      </c>
      <c r="V20" s="1567"/>
      <c r="W20"/>
      <c r="X20"/>
      <c r="Y20"/>
    </row>
    <row r="21" spans="1:25" ht="15.75" thickBot="1" x14ac:dyDescent="0.3">
      <c r="A21"/>
      <c r="B21" s="1682"/>
      <c r="C21" s="1682"/>
      <c r="D21" s="632"/>
      <c r="E21" s="484"/>
      <c r="F21"/>
      <c r="G21" s="633" t="s">
        <v>1210</v>
      </c>
      <c r="H21" s="634" t="s">
        <v>72</v>
      </c>
      <c r="I21" s="635"/>
      <c r="J21"/>
      <c r="K21"/>
      <c r="L21"/>
      <c r="M21"/>
      <c r="N21"/>
      <c r="O21"/>
      <c r="P21"/>
      <c r="Q21"/>
      <c r="R21" s="636"/>
      <c r="S21" s="636"/>
      <c r="T21" s="636"/>
      <c r="U21" s="14"/>
      <c r="V21" s="636"/>
      <c r="W21"/>
      <c r="X21"/>
      <c r="Y21"/>
    </row>
    <row r="22" spans="1:25" ht="15.75" thickBot="1" x14ac:dyDescent="0.3">
      <c r="A22"/>
      <c r="B22"/>
      <c r="C22"/>
      <c r="D22"/>
      <c r="E22"/>
      <c r="F22"/>
      <c r="G22" s="637">
        <v>0</v>
      </c>
      <c r="H22" s="638" t="s">
        <v>16</v>
      </c>
      <c r="I22" s="635"/>
      <c r="J22" s="502" t="s">
        <v>1061</v>
      </c>
      <c r="K22" s="639" t="e">
        <f>MAX(K59,T60)</f>
        <v>#DIV/0!</v>
      </c>
      <c r="L22" s="640" t="e">
        <f>MAX(K59,Q59)</f>
        <v>#DIV/0!</v>
      </c>
      <c r="M22" s="640" t="e">
        <f>MAX(K59,T61)</f>
        <v>#DIV/0!</v>
      </c>
      <c r="N22" s="640" t="e">
        <f>MAX(N62,K62,T59)</f>
        <v>#DIV/0!</v>
      </c>
      <c r="O22" s="640" t="e">
        <f>MAX(N62,K62,T61)</f>
        <v>#DIV/0!</v>
      </c>
      <c r="P22" s="640" t="e">
        <f>N62</f>
        <v>#DIV/0!</v>
      </c>
      <c r="Q22" s="640" t="e">
        <f>MAX(Q59,T60)</f>
        <v>#DIV/0!</v>
      </c>
      <c r="R22" s="640" t="e">
        <f>MAX(N59,Q59)</f>
        <v>#DIV/0!</v>
      </c>
      <c r="S22" s="640" t="e">
        <f>MAX(Q59,N61)</f>
        <v>#DIV/0!</v>
      </c>
      <c r="T22" s="640" t="e">
        <f>MAX(T62,Q62,N59)</f>
        <v>#DIV/0!</v>
      </c>
      <c r="U22" s="640" t="e">
        <f>MAX(T62,Q59,N61)</f>
        <v>#DIV/0!</v>
      </c>
      <c r="V22" s="641" t="e">
        <f>T62</f>
        <v>#DIV/0!</v>
      </c>
      <c r="W22"/>
      <c r="X22"/>
      <c r="Y22"/>
    </row>
    <row r="23" spans="1:25" ht="18.75" x14ac:dyDescent="0.3">
      <c r="A23"/>
      <c r="B23"/>
      <c r="C23"/>
      <c r="D23"/>
      <c r="E23"/>
      <c r="F23"/>
      <c r="G23" s="642">
        <v>10</v>
      </c>
      <c r="H23" s="643" t="s">
        <v>17</v>
      </c>
      <c r="I23" s="635"/>
      <c r="J23"/>
      <c r="K23" s="195"/>
      <c r="L23" s="195"/>
      <c r="M23"/>
      <c r="N23"/>
      <c r="O23"/>
      <c r="P23" s="195"/>
      <c r="Q23"/>
      <c r="R23"/>
      <c r="S23"/>
      <c r="T23"/>
      <c r="U23"/>
      <c r="V23"/>
      <c r="W23"/>
      <c r="X23"/>
      <c r="Y23"/>
    </row>
    <row r="24" spans="1:25" x14ac:dyDescent="0.25">
      <c r="A24"/>
      <c r="B24"/>
      <c r="C24"/>
      <c r="D24"/>
      <c r="E24"/>
      <c r="F24"/>
      <c r="G24" s="642">
        <v>20</v>
      </c>
      <c r="H24" s="643" t="s">
        <v>18</v>
      </c>
      <c r="I24" s="635"/>
      <c r="J24"/>
      <c r="K24"/>
      <c r="L24"/>
      <c r="M24"/>
      <c r="N24"/>
      <c r="O24"/>
      <c r="P24"/>
      <c r="Q24" s="258"/>
      <c r="R24"/>
      <c r="S24"/>
      <c r="T24"/>
      <c r="U24" s="399"/>
      <c r="V24"/>
      <c r="W24"/>
      <c r="X24"/>
      <c r="Y24"/>
    </row>
    <row r="25" spans="1:25" ht="21" x14ac:dyDescent="0.35">
      <c r="A25"/>
      <c r="B25"/>
      <c r="C25"/>
      <c r="D25"/>
      <c r="E25"/>
      <c r="F25"/>
      <c r="G25" s="642">
        <v>35</v>
      </c>
      <c r="H25" s="643" t="s">
        <v>19</v>
      </c>
      <c r="I25" s="635"/>
      <c r="J25"/>
      <c r="K25"/>
      <c r="L25"/>
      <c r="M25"/>
      <c r="N25"/>
      <c r="O25"/>
      <c r="P25"/>
      <c r="Q25" s="265"/>
      <c r="R25" s="27"/>
      <c r="S25" s="27"/>
      <c r="T25" s="27"/>
      <c r="U25" s="623"/>
      <c r="V25" s="644"/>
      <c r="W25" s="645"/>
      <c r="X25" s="180"/>
      <c r="Y25"/>
    </row>
    <row r="26" spans="1:25" x14ac:dyDescent="0.25">
      <c r="A26"/>
      <c r="B26"/>
      <c r="C26"/>
      <c r="D26"/>
      <c r="E26" s="1693" t="s">
        <v>1373</v>
      </c>
      <c r="F26" s="1694"/>
      <c r="G26" s="642">
        <v>55</v>
      </c>
      <c r="H26" s="643" t="s">
        <v>20</v>
      </c>
      <c r="I26" s="635"/>
      <c r="J26"/>
      <c r="K26"/>
      <c r="L26"/>
      <c r="M26"/>
      <c r="N26"/>
      <c r="O26"/>
      <c r="P26"/>
      <c r="Q26"/>
      <c r="R26"/>
      <c r="S26"/>
      <c r="T26"/>
      <c r="U26"/>
      <c r="V26"/>
      <c r="W26"/>
      <c r="X26"/>
      <c r="Y26"/>
    </row>
    <row r="27" spans="1:25" ht="15.75" thickBot="1" x14ac:dyDescent="0.3">
      <c r="A27"/>
      <c r="B27"/>
      <c r="C27"/>
      <c r="D27"/>
      <c r="E27" s="1693" t="s">
        <v>1052</v>
      </c>
      <c r="F27" s="1694"/>
      <c r="G27" s="646">
        <v>80</v>
      </c>
      <c r="H27" s="647" t="s">
        <v>21</v>
      </c>
      <c r="I27"/>
      <c r="J27"/>
      <c r="K27"/>
      <c r="L27"/>
      <c r="M27"/>
      <c r="N27"/>
      <c r="O27"/>
      <c r="P27"/>
      <c r="Q27"/>
      <c r="R27"/>
      <c r="S27"/>
      <c r="T27"/>
      <c r="U27"/>
      <c r="V27"/>
      <c r="W27"/>
      <c r="X27"/>
      <c r="Y27"/>
    </row>
    <row r="28" spans="1:25" x14ac:dyDescent="0.25">
      <c r="A28"/>
      <c r="B28"/>
      <c r="C28"/>
      <c r="D28"/>
      <c r="E28"/>
      <c r="F28"/>
      <c r="G28" s="308"/>
      <c r="H28"/>
      <c r="I28" s="648"/>
      <c r="J28" s="15"/>
      <c r="K28" s="14"/>
      <c r="L28" s="14"/>
      <c r="M28" s="14"/>
      <c r="N28" s="14"/>
      <c r="O28" s="14"/>
      <c r="P28" s="14"/>
      <c r="Q28" s="14"/>
      <c r="R28" s="14"/>
      <c r="S28" s="14"/>
      <c r="T28" s="14"/>
      <c r="U28" s="14"/>
      <c r="V28" s="14"/>
      <c r="W28"/>
      <c r="X28"/>
      <c r="Y28"/>
    </row>
    <row r="29" spans="1:25" ht="15.75" thickBot="1" x14ac:dyDescent="0.3">
      <c r="A29"/>
      <c r="B29"/>
      <c r="C29"/>
      <c r="D29"/>
      <c r="E29"/>
      <c r="F29"/>
      <c r="G29"/>
      <c r="H29"/>
      <c r="I29" s="14"/>
      <c r="J29"/>
      <c r="K29"/>
      <c r="L29"/>
      <c r="M29"/>
      <c r="N29"/>
      <c r="O29"/>
      <c r="P29"/>
      <c r="Q29"/>
      <c r="R29"/>
      <c r="S29"/>
      <c r="T29"/>
      <c r="U29"/>
      <c r="V29" s="18"/>
      <c r="W29"/>
      <c r="X29"/>
      <c r="Y29"/>
    </row>
    <row r="30" spans="1:25" ht="18.75" x14ac:dyDescent="0.3">
      <c r="A30"/>
      <c r="B30"/>
      <c r="C30"/>
      <c r="D30"/>
      <c r="E30"/>
      <c r="F30"/>
      <c r="G30"/>
      <c r="H30"/>
      <c r="I30" s="14"/>
      <c r="J30"/>
      <c r="K30"/>
      <c r="L30" s="560"/>
      <c r="M30" s="649"/>
      <c r="N30" s="649" t="s">
        <v>60</v>
      </c>
      <c r="O30" s="649"/>
      <c r="P30" s="561"/>
      <c r="Q30"/>
      <c r="R30"/>
      <c r="S30"/>
      <c r="T30"/>
      <c r="U30"/>
      <c r="V30"/>
      <c r="W30"/>
      <c r="X30"/>
      <c r="Y30"/>
    </row>
    <row r="31" spans="1:25" ht="19.5" thickBot="1" x14ac:dyDescent="0.35">
      <c r="A31"/>
      <c r="B31"/>
      <c r="C31"/>
      <c r="D31"/>
      <c r="E31"/>
      <c r="F31"/>
      <c r="G31"/>
      <c r="H31"/>
      <c r="I31" s="14"/>
      <c r="J31"/>
      <c r="K31"/>
      <c r="L31" s="650" t="s">
        <v>46</v>
      </c>
      <c r="M31" s="651"/>
      <c r="N31" s="651"/>
      <c r="O31" s="651"/>
      <c r="P31" s="652">
        <f>ROUND((0.95*D17)/5,0)*5</f>
        <v>0</v>
      </c>
      <c r="Q31"/>
      <c r="R31"/>
      <c r="S31"/>
      <c r="T31"/>
      <c r="U31"/>
      <c r="V31"/>
      <c r="W31"/>
      <c r="X31"/>
      <c r="Y31"/>
    </row>
    <row r="32" spans="1:25" ht="15.75" thickBot="1" x14ac:dyDescent="0.3">
      <c r="A32"/>
      <c r="B32"/>
      <c r="C32"/>
      <c r="D32"/>
      <c r="E32"/>
      <c r="F32"/>
      <c r="G32"/>
      <c r="H32"/>
      <c r="I32" s="14"/>
      <c r="J32" s="1700" t="s">
        <v>955</v>
      </c>
      <c r="K32"/>
      <c r="L32"/>
      <c r="M32"/>
      <c r="N32"/>
      <c r="O32"/>
      <c r="P32"/>
      <c r="Q32"/>
      <c r="R32"/>
      <c r="S32"/>
      <c r="T32"/>
      <c r="U32"/>
      <c r="V32"/>
      <c r="W32"/>
      <c r="X32"/>
      <c r="Y32"/>
    </row>
    <row r="33" spans="1:25" x14ac:dyDescent="0.25">
      <c r="A33"/>
      <c r="B33"/>
      <c r="C33"/>
      <c r="D33"/>
      <c r="E33"/>
      <c r="F33" s="308"/>
      <c r="G33"/>
      <c r="H33"/>
      <c r="I33" s="14"/>
      <c r="J33" s="1701"/>
      <c r="K33" s="653" t="s">
        <v>12</v>
      </c>
      <c r="L33" s="654"/>
      <c r="M33" s="15"/>
      <c r="N33" s="653" t="s">
        <v>13</v>
      </c>
      <c r="O33" s="654"/>
      <c r="P33" s="15"/>
      <c r="Q33" s="653" t="s">
        <v>14</v>
      </c>
      <c r="R33" s="654"/>
      <c r="S33" s="15"/>
      <c r="T33" s="653" t="s">
        <v>15</v>
      </c>
      <c r="U33" s="654"/>
      <c r="V33"/>
      <c r="W33"/>
      <c r="X33"/>
      <c r="Y33"/>
    </row>
    <row r="34" spans="1:25" ht="19.5" thickBot="1" x14ac:dyDescent="0.35">
      <c r="A34"/>
      <c r="B34"/>
      <c r="C34"/>
      <c r="D34"/>
      <c r="E34"/>
      <c r="F34"/>
      <c r="G34"/>
      <c r="H34"/>
      <c r="I34" s="14"/>
      <c r="J34" s="1702"/>
      <c r="K34" s="1698">
        <f>D6</f>
        <v>0</v>
      </c>
      <c r="L34" s="1699"/>
      <c r="M34" s="655"/>
      <c r="N34" s="1698" t="str">
        <f>O8</f>
        <v>NB</v>
      </c>
      <c r="O34" s="1699"/>
      <c r="P34" s="195"/>
      <c r="Q34" s="1698" t="str">
        <f>R8</f>
        <v>EB</v>
      </c>
      <c r="R34" s="1699"/>
      <c r="S34" s="195"/>
      <c r="T34" s="1698" t="str">
        <f>U8</f>
        <v>SB</v>
      </c>
      <c r="U34" s="1699"/>
      <c r="V34"/>
      <c r="W34"/>
      <c r="X34"/>
      <c r="Y34"/>
    </row>
    <row r="35" spans="1:25" ht="15.75" x14ac:dyDescent="0.25">
      <c r="A35"/>
      <c r="B35"/>
      <c r="C35" s="656" t="s">
        <v>50</v>
      </c>
      <c r="D35" s="484"/>
      <c r="E35" s="561"/>
      <c r="F35"/>
      <c r="G35"/>
      <c r="H35"/>
      <c r="I35"/>
      <c r="J35" s="560" t="s">
        <v>87</v>
      </c>
      <c r="K35" s="10"/>
      <c r="L35" s="636"/>
      <c r="M35" s="658"/>
      <c r="N35" s="10"/>
      <c r="O35" s="636"/>
      <c r="P35" s="658"/>
      <c r="Q35" s="10"/>
      <c r="R35" s="636"/>
      <c r="S35" s="658"/>
      <c r="T35" s="10"/>
      <c r="U35" s="654"/>
      <c r="V35"/>
      <c r="W35"/>
      <c r="X35"/>
      <c r="Y35"/>
    </row>
    <row r="36" spans="1:25" ht="15.75" x14ac:dyDescent="0.25">
      <c r="A36"/>
      <c r="B36"/>
      <c r="C36" s="17" t="s">
        <v>77</v>
      </c>
      <c r="D36"/>
      <c r="E36" s="570"/>
      <c r="F36"/>
      <c r="G36"/>
      <c r="H36"/>
      <c r="I36"/>
      <c r="J36" s="17" t="s">
        <v>26</v>
      </c>
      <c r="K36" s="659"/>
      <c r="L36" s="14"/>
      <c r="M36" s="18"/>
      <c r="N36" s="9"/>
      <c r="O36" s="14"/>
      <c r="P36" s="18"/>
      <c r="Q36" s="661"/>
      <c r="R36" s="14"/>
      <c r="S36" s="18"/>
      <c r="T36" s="9"/>
      <c r="U36" s="662"/>
      <c r="V36"/>
      <c r="W36"/>
      <c r="X36"/>
      <c r="Y36"/>
    </row>
    <row r="37" spans="1:25" ht="15.75" x14ac:dyDescent="0.25">
      <c r="A37"/>
      <c r="B37"/>
      <c r="C37" s="17" t="s">
        <v>1053</v>
      </c>
      <c r="D37"/>
      <c r="E37" s="570"/>
      <c r="F37"/>
      <c r="G37"/>
      <c r="H37"/>
      <c r="I37"/>
      <c r="J37" s="17" t="s">
        <v>1212</v>
      </c>
      <c r="K37" s="659"/>
      <c r="L37" s="14"/>
      <c r="M37" s="18"/>
      <c r="N37" s="9"/>
      <c r="O37" s="14"/>
      <c r="P37" s="18"/>
      <c r="Q37" s="661"/>
      <c r="R37" s="14"/>
      <c r="S37" s="18"/>
      <c r="T37" s="9"/>
      <c r="U37" s="662"/>
      <c r="V37"/>
      <c r="W37"/>
      <c r="X37"/>
      <c r="Y37"/>
    </row>
    <row r="38" spans="1:25" ht="16.5" thickBot="1" x14ac:dyDescent="0.3">
      <c r="A38"/>
      <c r="B38"/>
      <c r="C38" s="17" t="s">
        <v>1054</v>
      </c>
      <c r="D38"/>
      <c r="E38" s="570"/>
      <c r="F38"/>
      <c r="G38"/>
      <c r="H38"/>
      <c r="I38"/>
      <c r="J38" s="19" t="s">
        <v>1068</v>
      </c>
      <c r="K38" s="3"/>
      <c r="L38" s="455"/>
      <c r="M38" s="663"/>
      <c r="N38" s="11"/>
      <c r="O38" s="455"/>
      <c r="P38" s="663"/>
      <c r="Q38" s="11"/>
      <c r="R38" s="455"/>
      <c r="S38" s="663"/>
      <c r="T38" s="11"/>
      <c r="U38" s="665"/>
      <c r="V38"/>
      <c r="W38"/>
      <c r="X38"/>
      <c r="Y38"/>
    </row>
    <row r="39" spans="1:25" ht="15.75" thickBot="1" x14ac:dyDescent="0.3">
      <c r="A39"/>
      <c r="B39"/>
      <c r="C39" s="19" t="s">
        <v>1055</v>
      </c>
      <c r="D39" s="248"/>
      <c r="E39" s="666"/>
      <c r="F39"/>
      <c r="G39"/>
      <c r="H39"/>
      <c r="I39"/>
      <c r="J39" s="17" t="s">
        <v>1069</v>
      </c>
      <c r="K39" s="20" t="e">
        <f>SUM(K12:M12)*IF(K35=2,D43,IF(K35=3,D44,1))</f>
        <v>#DIV/0!</v>
      </c>
      <c r="L39" s="667" t="e">
        <f>K39/SUM(K9:M9)</f>
        <v>#DIV/0!</v>
      </c>
      <c r="M39" s="20"/>
      <c r="N39" s="20" t="e">
        <f>((R12+T12)+IF(N37=0,(S12+U12)*1.18,0))*IF(N35=2,D43,IF(N35=3,D44,1))</f>
        <v>#DIV/0!</v>
      </c>
      <c r="O39" s="667" t="e">
        <f>N39/(R12+T12)</f>
        <v>#DIV/0!</v>
      </c>
      <c r="P39" s="20"/>
      <c r="Q39" s="20" t="e">
        <f>SUM(Q12:S12)*IF(Q35=2,D43,IF(Q35=3,D44,1))</f>
        <v>#DIV/0!</v>
      </c>
      <c r="R39" s="667" t="e">
        <f>Q39/SUM(Q9:S9)</f>
        <v>#DIV/0!</v>
      </c>
      <c r="S39" s="20"/>
      <c r="T39" s="20" t="e">
        <f>((L12+N12)+IF(T37=0,(M12+O12)*1.18,0))*IF(T35=2,D43,IF(T35=3,D44,1))</f>
        <v>#DIV/0!</v>
      </c>
      <c r="U39" s="668" t="e">
        <f>T39/(L9+N9)</f>
        <v>#DIV/0!</v>
      </c>
      <c r="V39"/>
      <c r="W39"/>
      <c r="X39"/>
      <c r="Y39"/>
    </row>
    <row r="40" spans="1:25" ht="15.75" thickBot="1" x14ac:dyDescent="0.3">
      <c r="A40"/>
      <c r="B40"/>
      <c r="C40"/>
      <c r="D40"/>
      <c r="E40"/>
      <c r="F40" s="1690" t="s">
        <v>1059</v>
      </c>
      <c r="G40" s="1690"/>
      <c r="H40"/>
      <c r="I40"/>
      <c r="J40" s="17" t="s">
        <v>33</v>
      </c>
      <c r="K40" s="504">
        <v>0</v>
      </c>
      <c r="L40" s="669"/>
      <c r="M40" s="20"/>
      <c r="N40" s="20" t="e">
        <f>K12*1.05*IF(N36=2,D45,IF(N36=3,D46,1))*IF(N36=2,D45,IF(N36=3,D46,1))</f>
        <v>#DIV/0!</v>
      </c>
      <c r="O40" s="667" t="e">
        <f>N40/K9</f>
        <v>#DIV/0!</v>
      </c>
      <c r="P40" s="20"/>
      <c r="Q40" s="504">
        <v>0</v>
      </c>
      <c r="R40" s="669"/>
      <c r="S40" s="20"/>
      <c r="T40" s="20" t="e">
        <f>Q12*1.05*IF(T36=2,D45,IF(T36=3,D46,1))</f>
        <v>#DIV/0!</v>
      </c>
      <c r="U40" s="668" t="e">
        <f>T40/Q9</f>
        <v>#DIV/0!</v>
      </c>
      <c r="V40"/>
      <c r="W40"/>
      <c r="X40"/>
      <c r="Y40"/>
    </row>
    <row r="41" spans="1:25" ht="15.75" thickBot="1" x14ac:dyDescent="0.3">
      <c r="A41"/>
      <c r="B41"/>
      <c r="C41" s="542" t="s">
        <v>1056</v>
      </c>
      <c r="D41" s="526"/>
      <c r="E41"/>
      <c r="F41" t="s">
        <v>1058</v>
      </c>
      <c r="G41"/>
      <c r="H41"/>
      <c r="I41"/>
      <c r="J41" s="17" t="s">
        <v>32</v>
      </c>
      <c r="K41" s="504">
        <v>0</v>
      </c>
      <c r="L41" s="669"/>
      <c r="M41" s="20"/>
      <c r="N41" s="20" t="e">
        <f>(S12+U12)*1.2*IF(N37=0,0,1)*IF(N37=0,0,IF(N37=2,D43,IF(N37=3,D44,1)))</f>
        <v>#DIV/0!</v>
      </c>
      <c r="O41" s="667" t="e">
        <f>N41/(S9+U9)</f>
        <v>#DIV/0!</v>
      </c>
      <c r="P41" s="20"/>
      <c r="Q41" s="504">
        <v>0</v>
      </c>
      <c r="R41" s="669"/>
      <c r="S41" s="20"/>
      <c r="T41" s="20" t="e">
        <f>(M12+O12)*1.18*IF(T37=0,0,1)</f>
        <v>#DIV/0!</v>
      </c>
      <c r="U41" s="668" t="e">
        <f>T41/(M9+O9)</f>
        <v>#DIV/0!</v>
      </c>
      <c r="V41"/>
      <c r="W41"/>
      <c r="X41"/>
      <c r="Y41"/>
    </row>
    <row r="42" spans="1:25" ht="16.5" thickBot="1" x14ac:dyDescent="0.3">
      <c r="A42"/>
      <c r="B42"/>
      <c r="C42" s="464" t="s">
        <v>1057</v>
      </c>
      <c r="D42" s="425" t="s">
        <v>74</v>
      </c>
      <c r="E42"/>
      <c r="F42" s="1690" t="s">
        <v>1060</v>
      </c>
      <c r="G42" s="1690"/>
      <c r="H42"/>
      <c r="I42"/>
      <c r="J42" s="19" t="s">
        <v>933</v>
      </c>
      <c r="K42" s="18" t="e">
        <f>ROUND(1/IF($D$12&lt;35,0.8,IF($D$12&lt;80,0.85,0.95))*(N12+O12),0)</f>
        <v>#DIV/0!</v>
      </c>
      <c r="L42" s="670" t="e">
        <f>K42/(N9+O9)</f>
        <v>#DIV/0!</v>
      </c>
      <c r="M42" s="671"/>
      <c r="N42" s="671" t="e">
        <f>SUM(N12:P12)*VLOOKUP($D$13,$B$55:$C$59,2,FALSE)*IF($D$14="N",1,VLOOKUP($K$35,$B$63:$C$65,2,FALSE))</f>
        <v>#DIV/0!</v>
      </c>
      <c r="O42" s="670" t="e">
        <f>N42/(P9+O9)</f>
        <v>#DIV/0!</v>
      </c>
      <c r="P42" s="671"/>
      <c r="Q42" s="20" t="e">
        <f>ROUND((T12+U12)*IF(Q38=1,1,MAX(U10,T10)*Q38/(T10+U10)),0)</f>
        <v>#DIV/0!</v>
      </c>
      <c r="R42" s="670" t="e">
        <f>Q42/(U9+V9)</f>
        <v>#DIV/0!</v>
      </c>
      <c r="S42" s="671"/>
      <c r="T42" s="671" t="e">
        <f>SUM(T12:V12)*1.18</f>
        <v>#DIV/0!</v>
      </c>
      <c r="U42" s="672" t="e">
        <f>T42/SUM(T9:V9)</f>
        <v>#DIV/0!</v>
      </c>
      <c r="V42"/>
      <c r="W42"/>
      <c r="X42"/>
      <c r="Y42"/>
    </row>
    <row r="43" spans="1:25" ht="19.5" thickBot="1" x14ac:dyDescent="0.35">
      <c r="A43"/>
      <c r="B43"/>
      <c r="C43" s="13" t="s">
        <v>22</v>
      </c>
      <c r="D43" s="578">
        <f>1/0.952</f>
        <v>1.0504201680672269</v>
      </c>
      <c r="E43"/>
      <c r="F43"/>
      <c r="G43"/>
      <c r="H43"/>
      <c r="I43"/>
      <c r="J43" s="673" t="s">
        <v>904</v>
      </c>
      <c r="K43" s="674" t="e">
        <f>ROUND(K39/K35+K42/K38,0)/$P$31</f>
        <v>#DIV/0!</v>
      </c>
      <c r="L43" s="675" t="e">
        <f>IF(K43&lt;=$P$31,"OK","LOS-F")</f>
        <v>#DIV/0!</v>
      </c>
      <c r="M43" s="675"/>
      <c r="N43" s="674" t="e">
        <f>ROUND(N39/N35+MAX(N42/N38,N40/N36),0)/$P$31</f>
        <v>#DIV/0!</v>
      </c>
      <c r="O43" s="675" t="e">
        <f>IF(N43&lt;=$P$31,"OK","LOS-F")</f>
        <v>#DIV/0!</v>
      </c>
      <c r="P43" s="675"/>
      <c r="Q43" s="674" t="e">
        <f>ROUND(Q39/Q35+Q42/Q38,0)/$P$31</f>
        <v>#DIV/0!</v>
      </c>
      <c r="R43" s="675" t="e">
        <f>IF(Q43&lt;=$P$31,"OK","LOS-F")</f>
        <v>#DIV/0!</v>
      </c>
      <c r="S43" s="675"/>
      <c r="T43" s="674" t="e">
        <f>ROUND(T39/T35+MAX(T42/T38,T40/T36),0)/$P$31</f>
        <v>#DIV/0!</v>
      </c>
      <c r="U43" s="676" t="e">
        <f>IF(T43&lt;=$P$31,"OK","LOS-F")</f>
        <v>#DIV/0!</v>
      </c>
      <c r="V43"/>
      <c r="W43"/>
      <c r="X43"/>
      <c r="Y43"/>
    </row>
    <row r="44" spans="1:25" ht="19.5" thickBot="1" x14ac:dyDescent="0.35">
      <c r="A44"/>
      <c r="B44"/>
      <c r="C44" s="13" t="s">
        <v>23</v>
      </c>
      <c r="D44" s="578">
        <f>1/0.908</f>
        <v>1.1013215859030836</v>
      </c>
      <c r="E44"/>
      <c r="F44"/>
      <c r="G44"/>
      <c r="H44"/>
      <c r="I44"/>
      <c r="J44" s="677" t="s">
        <v>932</v>
      </c>
      <c r="K44" s="658"/>
      <c r="L44" s="658"/>
      <c r="M44" s="658"/>
      <c r="N44" s="658"/>
      <c r="O44" s="658"/>
      <c r="P44" s="658"/>
      <c r="Q44" s="658"/>
      <c r="R44" s="658"/>
      <c r="S44" s="658"/>
      <c r="T44" s="658"/>
      <c r="U44" s="678"/>
      <c r="V44" s="195"/>
      <c r="W44"/>
      <c r="X44"/>
      <c r="Y44"/>
    </row>
    <row r="45" spans="1:25" ht="15.75" hidden="1" thickBot="1" x14ac:dyDescent="0.3">
      <c r="A45"/>
      <c r="B45"/>
      <c r="C45" s="13" t="s">
        <v>25</v>
      </c>
      <c r="D45" s="578">
        <f>1/0.907</f>
        <v>1.1025358324145533</v>
      </c>
      <c r="E45"/>
      <c r="F45"/>
      <c r="G45"/>
      <c r="H45"/>
      <c r="I45"/>
      <c r="J45" s="17"/>
      <c r="K45" s="308"/>
      <c r="L45" s="308"/>
      <c r="M45" s="308"/>
      <c r="N45" s="308"/>
      <c r="O45" s="308"/>
      <c r="P45" s="308"/>
      <c r="Q45" s="308"/>
      <c r="R45" s="308"/>
      <c r="S45" s="308"/>
      <c r="T45" s="308"/>
      <c r="U45" s="570"/>
      <c r="V45"/>
      <c r="W45"/>
      <c r="X45"/>
      <c r="Y45"/>
    </row>
    <row r="46" spans="1:25" ht="16.5" thickBot="1" x14ac:dyDescent="0.3">
      <c r="A46"/>
      <c r="B46"/>
      <c r="C46" s="28" t="s">
        <v>24</v>
      </c>
      <c r="D46" s="679">
        <f>1/0.9</f>
        <v>1.1111111111111112</v>
      </c>
      <c r="E46"/>
      <c r="F46"/>
      <c r="G46"/>
      <c r="H46"/>
      <c r="I46"/>
      <c r="J46" s="1695" t="s">
        <v>34</v>
      </c>
      <c r="K46" s="1696"/>
      <c r="L46" s="1696"/>
      <c r="M46" s="1696"/>
      <c r="N46" s="1696"/>
      <c r="O46" s="1696"/>
      <c r="P46" s="1696"/>
      <c r="Q46" s="1696"/>
      <c r="R46" s="1696"/>
      <c r="S46" s="1696"/>
      <c r="T46" s="1696"/>
      <c r="U46" s="1697"/>
      <c r="V46" s="27"/>
      <c r="W46" s="681"/>
      <c r="X46"/>
      <c r="Y46"/>
    </row>
    <row r="47" spans="1:25" ht="19.5" thickBot="1" x14ac:dyDescent="0.35">
      <c r="A47"/>
      <c r="B47"/>
      <c r="C47"/>
      <c r="D47"/>
      <c r="E47"/>
      <c r="F47" s="682"/>
      <c r="G47" s="30"/>
      <c r="H47"/>
      <c r="I47"/>
      <c r="J47" s="683"/>
      <c r="K47" s="684">
        <f>K34</f>
        <v>0</v>
      </c>
      <c r="L47" s="559"/>
      <c r="M47" s="559"/>
      <c r="N47" s="684" t="str">
        <f>N34</f>
        <v>NB</v>
      </c>
      <c r="O47" s="559"/>
      <c r="P47" s="559"/>
      <c r="Q47" s="684" t="str">
        <f>Q34</f>
        <v>EB</v>
      </c>
      <c r="R47" s="559"/>
      <c r="S47" s="559"/>
      <c r="T47" s="684" t="str">
        <f>T34</f>
        <v>SB</v>
      </c>
      <c r="U47" s="685"/>
      <c r="V47"/>
      <c r="W47"/>
      <c r="X47"/>
      <c r="Y47"/>
    </row>
    <row r="48" spans="1:25" ht="16.5" thickBot="1" x14ac:dyDescent="0.3">
      <c r="A48"/>
      <c r="B48"/>
      <c r="C48"/>
      <c r="D48"/>
      <c r="E48"/>
      <c r="F48" s="682"/>
      <c r="G48" s="686"/>
      <c r="H48"/>
      <c r="I48"/>
      <c r="J48" s="560" t="s">
        <v>35</v>
      </c>
      <c r="K48" s="20" t="e">
        <f>IF(K43&gt;=0.85-8.5/$D$16,$D$16,MAX($D$15,8.5/(0.85-K43)))</f>
        <v>#DIV/0!</v>
      </c>
      <c r="L48" s="658"/>
      <c r="M48" s="658"/>
      <c r="N48" s="18" t="e">
        <f>ROUND(IF(N43&gt;=0.85-8.5/$D$16,$D$16,MAX($D$15,8.5/(0.85-N43))),0)</f>
        <v>#DIV/0!</v>
      </c>
      <c r="O48" s="658"/>
      <c r="P48" s="658"/>
      <c r="Q48" s="18" t="e">
        <f>ROUND(IF(Q43&gt;=0.85-8.5/$D$16,$D$16,MAX($D$15,8.5/(0.85-Q43))),0)</f>
        <v>#DIV/0!</v>
      </c>
      <c r="R48" s="658"/>
      <c r="S48" s="658"/>
      <c r="T48" s="20" t="e">
        <f>IF(T43&gt;=0.85-8.5/$D$16,$D$16,MAX($D$15,8.5/(0.85-T43)))</f>
        <v>#DIV/0!</v>
      </c>
      <c r="U48" s="561"/>
      <c r="V48"/>
      <c r="W48"/>
      <c r="X48"/>
      <c r="Y48"/>
    </row>
    <row r="49" spans="1:33" ht="15.75" hidden="1" thickBot="1" x14ac:dyDescent="0.3">
      <c r="A49"/>
      <c r="B49"/>
      <c r="C49"/>
      <c r="D49" s="18"/>
      <c r="E49"/>
      <c r="F49"/>
      <c r="G49"/>
      <c r="H49"/>
      <c r="I49"/>
      <c r="J49" s="19" t="s">
        <v>52</v>
      </c>
      <c r="K49" s="671" t="e">
        <f>ROUND(MAX(K48,T48)/5,0)*5</f>
        <v>#DIV/0!</v>
      </c>
      <c r="L49" s="663"/>
      <c r="M49" s="663"/>
      <c r="N49" s="663" t="e">
        <f>ROUND(MAX(N48+1,Q48+1)/5,0)*5</f>
        <v>#DIV/0!</v>
      </c>
      <c r="O49" s="663"/>
      <c r="P49" s="663"/>
      <c r="Q49" s="663" t="e">
        <f>N49</f>
        <v>#DIV/0!</v>
      </c>
      <c r="R49" s="663"/>
      <c r="S49" s="663"/>
      <c r="T49" s="671" t="e">
        <f>K49</f>
        <v>#DIV/0!</v>
      </c>
      <c r="U49" s="666"/>
      <c r="V49"/>
      <c r="W49"/>
      <c r="X49"/>
      <c r="Y49"/>
    </row>
    <row r="50" spans="1:33" ht="19.5" thickBot="1" x14ac:dyDescent="0.35">
      <c r="A50"/>
      <c r="B50" s="560" t="s">
        <v>1216</v>
      </c>
      <c r="C50" s="484"/>
      <c r="D50" s="561"/>
      <c r="E50"/>
      <c r="F50" s="687" t="s">
        <v>84</v>
      </c>
      <c r="G50" s="688"/>
      <c r="H50"/>
      <c r="I50"/>
      <c r="J50" s="689" t="s">
        <v>1372</v>
      </c>
      <c r="K50" s="6"/>
      <c r="L50" s="690"/>
      <c r="M50" s="690"/>
      <c r="N50" s="6"/>
      <c r="O50" s="690"/>
      <c r="P50" s="690"/>
      <c r="Q50" s="6"/>
      <c r="R50" s="690"/>
      <c r="S50" s="690"/>
      <c r="T50" s="6"/>
      <c r="U50" s="526"/>
      <c r="V50"/>
      <c r="W50"/>
      <c r="X50"/>
      <c r="Y50"/>
    </row>
    <row r="51" spans="1:33" ht="16.5" thickBot="1" x14ac:dyDescent="0.3">
      <c r="A51"/>
      <c r="B51" s="19" t="s">
        <v>85</v>
      </c>
      <c r="C51" s="248"/>
      <c r="D51" s="666"/>
      <c r="E51"/>
      <c r="F51"/>
      <c r="G51" s="25"/>
      <c r="H51"/>
      <c r="I51"/>
      <c r="J51" s="691" t="s">
        <v>27</v>
      </c>
      <c r="K51" s="9"/>
      <c r="L51" s="18"/>
      <c r="M51" s="18"/>
      <c r="N51" s="9"/>
      <c r="O51" s="18"/>
      <c r="P51" s="18"/>
      <c r="Q51" s="9"/>
      <c r="R51" s="18"/>
      <c r="S51" s="18"/>
      <c r="T51" s="9"/>
      <c r="U51" s="570"/>
      <c r="V51"/>
      <c r="W51"/>
      <c r="X51" s="399"/>
      <c r="Y51"/>
    </row>
    <row r="52" spans="1:33" ht="15.75" x14ac:dyDescent="0.25">
      <c r="A52"/>
      <c r="B52"/>
      <c r="C52"/>
      <c r="D52"/>
      <c r="E52"/>
      <c r="F52" s="692" t="s">
        <v>1140</v>
      </c>
      <c r="G52" s="693"/>
      <c r="H52"/>
      <c r="I52"/>
      <c r="J52" s="691" t="s">
        <v>28</v>
      </c>
      <c r="K52" s="659">
        <v>0</v>
      </c>
      <c r="L52" s="18"/>
      <c r="M52" s="18"/>
      <c r="N52" s="694">
        <f>N50-N51-10</f>
        <v>-10</v>
      </c>
      <c r="O52" s="18"/>
      <c r="P52" s="18"/>
      <c r="Q52" s="659">
        <v>0</v>
      </c>
      <c r="R52" s="18"/>
      <c r="S52" s="18"/>
      <c r="T52" s="694">
        <f>T50-T51-10</f>
        <v>-10</v>
      </c>
      <c r="U52" s="570"/>
      <c r="V52" s="275"/>
      <c r="W52"/>
      <c r="X52" s="399"/>
      <c r="Y52" s="399"/>
    </row>
    <row r="53" spans="1:33" ht="16.5" thickBot="1" x14ac:dyDescent="0.3">
      <c r="A53"/>
      <c r="B53"/>
      <c r="C53"/>
      <c r="D53"/>
      <c r="E53"/>
      <c r="F53" s="695" t="s">
        <v>1141</v>
      </c>
      <c r="G53" s="696"/>
      <c r="H53"/>
      <c r="I53"/>
      <c r="J53" s="691" t="s">
        <v>29</v>
      </c>
      <c r="K53" s="659">
        <v>0</v>
      </c>
      <c r="L53" s="18"/>
      <c r="M53" s="18"/>
      <c r="N53" s="694">
        <f>N51</f>
        <v>0</v>
      </c>
      <c r="O53" s="18"/>
      <c r="P53" s="18"/>
      <c r="Q53" s="659">
        <v>0</v>
      </c>
      <c r="R53" s="18"/>
      <c r="S53" s="18"/>
      <c r="T53" s="694">
        <f>T51</f>
        <v>0</v>
      </c>
      <c r="U53" s="570"/>
      <c r="V53"/>
      <c r="W53"/>
      <c r="X53"/>
      <c r="Y53"/>
    </row>
    <row r="54" spans="1:33" ht="16.5" thickBot="1" x14ac:dyDescent="0.3">
      <c r="A54"/>
      <c r="B54" s="683" t="s">
        <v>1215</v>
      </c>
      <c r="C54" s="526" t="s">
        <v>1217</v>
      </c>
      <c r="D54"/>
      <c r="E54"/>
      <c r="F54"/>
      <c r="G54"/>
      <c r="H54"/>
      <c r="I54"/>
      <c r="J54" s="697" t="s">
        <v>30</v>
      </c>
      <c r="K54" s="698">
        <f>K50-K51-10</f>
        <v>-10</v>
      </c>
      <c r="L54" s="663"/>
      <c r="M54" s="663"/>
      <c r="N54" s="698">
        <f>N52</f>
        <v>-10</v>
      </c>
      <c r="O54" s="663"/>
      <c r="P54" s="663"/>
      <c r="Q54" s="698">
        <f>Q50-Q51-10</f>
        <v>-10</v>
      </c>
      <c r="R54" s="663"/>
      <c r="S54" s="663"/>
      <c r="T54" s="698">
        <f>T52</f>
        <v>-10</v>
      </c>
      <c r="U54" s="666"/>
      <c r="V54"/>
      <c r="W54"/>
      <c r="X54"/>
      <c r="Y54"/>
    </row>
    <row r="55" spans="1:33" ht="15.75" x14ac:dyDescent="0.25">
      <c r="A55"/>
      <c r="B55" s="579" t="s">
        <v>69</v>
      </c>
      <c r="C55" s="598">
        <v>1</v>
      </c>
      <c r="D55"/>
      <c r="E55"/>
      <c r="F55"/>
      <c r="G55"/>
      <c r="H55"/>
      <c r="I55"/>
      <c r="J55" s="699" t="s">
        <v>42</v>
      </c>
      <c r="K55" s="700" t="e">
        <f>$D$18*K51+(1-$D$18)*(K50-10)* (K39/K35)/(K39/K35+K42/K38)</f>
        <v>#DIV/0!</v>
      </c>
      <c r="L55" s="700"/>
      <c r="M55" s="700"/>
      <c r="N55" s="700" t="e">
        <f>$D$18*N51+(1-$D$18)*(N50-10)*(MAX(N39/N35,N41/(N37+0.001)))/(MAX(N39/N35,N41/(N37+0.001))+MAX(N40/N36,N42/N38))</f>
        <v>#DIV/0!</v>
      </c>
      <c r="O55" s="700"/>
      <c r="P55" s="700"/>
      <c r="Q55" s="700" t="e">
        <f>$D$18*Q51+(1-$D$18)*(Q50-10)* (Q39/Q35)/(Q39/Q35+Q42/Q38)</f>
        <v>#DIV/0!</v>
      </c>
      <c r="R55" s="700"/>
      <c r="S55" s="700"/>
      <c r="T55" s="700" t="e">
        <f>$D$18*T51+(1-$D$18)*(T50-10)*(MAX(T39/T35,T41/(T37+0.001))/(MAX(T39/T35,T41/(T37+0.001))+MAX(T40/T36,T42/T38)))</f>
        <v>#DIV/0!</v>
      </c>
      <c r="U55" s="701"/>
      <c r="V55"/>
      <c r="W55"/>
      <c r="X55"/>
      <c r="Y55"/>
    </row>
    <row r="56" spans="1:33" ht="15.75" x14ac:dyDescent="0.25">
      <c r="A56"/>
      <c r="B56" s="579" t="s">
        <v>9</v>
      </c>
      <c r="C56" s="598">
        <v>1.2</v>
      </c>
      <c r="D56"/>
      <c r="E56"/>
      <c r="F56"/>
      <c r="G56"/>
      <c r="H56"/>
      <c r="I56"/>
      <c r="J56" s="702" t="s">
        <v>43</v>
      </c>
      <c r="K56" s="703"/>
      <c r="L56" s="704"/>
      <c r="M56" s="704"/>
      <c r="N56" s="705" t="e">
        <f>N50-10-N55</f>
        <v>#DIV/0!</v>
      </c>
      <c r="O56" s="704"/>
      <c r="P56" s="704"/>
      <c r="Q56" s="703"/>
      <c r="R56" s="704"/>
      <c r="S56" s="704"/>
      <c r="T56" s="705" t="e">
        <f>T50-10-T55</f>
        <v>#DIV/0!</v>
      </c>
      <c r="U56" s="706"/>
      <c r="V56"/>
      <c r="W56"/>
      <c r="X56" s="308"/>
      <c r="Y56" s="308"/>
      <c r="Z56" s="4"/>
      <c r="AA56" s="4"/>
      <c r="AB56" s="4"/>
      <c r="AC56" s="4"/>
      <c r="AD56" s="4"/>
      <c r="AE56" s="4"/>
      <c r="AF56" s="4"/>
      <c r="AG56" s="4"/>
    </row>
    <row r="57" spans="1:33" ht="15.75" x14ac:dyDescent="0.25">
      <c r="A57"/>
      <c r="B57" s="579" t="s">
        <v>68</v>
      </c>
      <c r="C57" s="598">
        <v>1.3</v>
      </c>
      <c r="D57"/>
      <c r="E57"/>
      <c r="F57"/>
      <c r="G57" s="32" t="s">
        <v>935</v>
      </c>
      <c r="H57"/>
      <c r="I57"/>
      <c r="J57" s="702" t="s">
        <v>59</v>
      </c>
      <c r="K57" s="703"/>
      <c r="L57" s="704"/>
      <c r="M57" s="704"/>
      <c r="N57" s="705" t="e">
        <f>N55</f>
        <v>#DIV/0!</v>
      </c>
      <c r="O57" s="704"/>
      <c r="P57" s="704"/>
      <c r="Q57" s="703"/>
      <c r="R57" s="704"/>
      <c r="S57" s="704"/>
      <c r="T57" s="705" t="e">
        <f>T55</f>
        <v>#DIV/0!</v>
      </c>
      <c r="U57" s="706"/>
      <c r="V57"/>
      <c r="W57"/>
      <c r="X57" s="308"/>
      <c r="Y57" s="308"/>
      <c r="Z57" s="4"/>
      <c r="AA57" s="4"/>
      <c r="AB57" s="4"/>
      <c r="AC57" s="4"/>
      <c r="AD57" s="4"/>
      <c r="AE57" s="4"/>
      <c r="AF57" s="4"/>
      <c r="AG57" s="4"/>
    </row>
    <row r="58" spans="1:33" ht="16.5" thickBot="1" x14ac:dyDescent="0.3">
      <c r="A58"/>
      <c r="B58" s="579" t="s">
        <v>70</v>
      </c>
      <c r="C58" s="598">
        <v>1.5</v>
      </c>
      <c r="D58"/>
      <c r="E58"/>
      <c r="F58"/>
      <c r="G58" s="32" t="s">
        <v>1142</v>
      </c>
      <c r="H58"/>
      <c r="I58"/>
      <c r="J58" s="707" t="s">
        <v>44</v>
      </c>
      <c r="K58" s="708" t="e">
        <f>K50-K55-10</f>
        <v>#DIV/0!</v>
      </c>
      <c r="L58" s="708"/>
      <c r="M58" s="708"/>
      <c r="N58" s="708" t="e">
        <f>N56</f>
        <v>#DIV/0!</v>
      </c>
      <c r="O58" s="708"/>
      <c r="P58" s="708"/>
      <c r="Q58" s="708" t="e">
        <f>Q50-Q55-10</f>
        <v>#DIV/0!</v>
      </c>
      <c r="R58" s="708"/>
      <c r="S58" s="708"/>
      <c r="T58" s="708" t="e">
        <f>T56</f>
        <v>#DIV/0!</v>
      </c>
      <c r="U58" s="709"/>
      <c r="V58"/>
      <c r="W58"/>
      <c r="X58" s="308"/>
      <c r="Y58" s="308"/>
      <c r="Z58" s="4"/>
      <c r="AA58" s="4"/>
      <c r="AB58" s="4"/>
      <c r="AC58" s="4"/>
      <c r="AD58" s="4"/>
      <c r="AE58" s="4"/>
      <c r="AF58" s="4"/>
      <c r="AG58" s="4"/>
    </row>
    <row r="59" spans="1:33" ht="15.75" thickBot="1" x14ac:dyDescent="0.3">
      <c r="A59"/>
      <c r="B59" s="545" t="s">
        <v>71</v>
      </c>
      <c r="C59" s="710">
        <v>2.1</v>
      </c>
      <c r="D59"/>
      <c r="E59"/>
      <c r="F59"/>
      <c r="G59"/>
      <c r="H59"/>
      <c r="I59"/>
      <c r="J59" s="711" t="s">
        <v>49</v>
      </c>
      <c r="K59" s="712" t="e">
        <f>K39/($P$31*K35*K55/K50)</f>
        <v>#DIV/0!</v>
      </c>
      <c r="L59" s="712">
        <f>L35</f>
        <v>0</v>
      </c>
      <c r="M59" s="712"/>
      <c r="N59" s="712" t="e">
        <f>N39/($P$31*N35*N55/N50)</f>
        <v>#DIV/0!</v>
      </c>
      <c r="O59" s="713">
        <f>O35</f>
        <v>0</v>
      </c>
      <c r="P59" s="712"/>
      <c r="Q59" s="712" t="e">
        <f>Q39/($P$31*Q35*Q55/Q50)</f>
        <v>#DIV/0!</v>
      </c>
      <c r="R59" s="712">
        <f>R35</f>
        <v>0</v>
      </c>
      <c r="S59" s="712"/>
      <c r="T59" s="712" t="e">
        <f>T39/($P$31*T35*T55/T50)</f>
        <v>#DIV/0!</v>
      </c>
      <c r="U59" s="561">
        <f>U35</f>
        <v>0</v>
      </c>
      <c r="V59"/>
      <c r="W59"/>
      <c r="X59" s="308"/>
      <c r="Y59" s="308"/>
      <c r="Z59" s="4"/>
      <c r="AA59" s="4"/>
      <c r="AB59" s="4"/>
      <c r="AC59" s="4"/>
      <c r="AD59" s="4"/>
      <c r="AE59" s="4"/>
      <c r="AF59" s="4"/>
      <c r="AG59" s="4"/>
    </row>
    <row r="60" spans="1:33" ht="15.75" thickBot="1" x14ac:dyDescent="0.3">
      <c r="A60"/>
      <c r="B60"/>
      <c r="C60"/>
      <c r="D60"/>
      <c r="E60"/>
      <c r="F60"/>
      <c r="G60"/>
      <c r="H60"/>
      <c r="I60"/>
      <c r="J60" s="714" t="s">
        <v>47</v>
      </c>
      <c r="K60" s="715">
        <v>0</v>
      </c>
      <c r="L60" s="309"/>
      <c r="M60" s="309"/>
      <c r="N60" s="309" t="e">
        <f>N40/($P$31*N36*N56/N50)</f>
        <v>#DIV/0!</v>
      </c>
      <c r="O60" s="308">
        <f>O36</f>
        <v>0</v>
      </c>
      <c r="P60" s="309"/>
      <c r="Q60" s="715">
        <v>0</v>
      </c>
      <c r="R60" s="309"/>
      <c r="S60" s="309"/>
      <c r="T60" s="309" t="e">
        <f>T40/($P$31*T36*T56/T50)</f>
        <v>#DIV/0!</v>
      </c>
      <c r="U60" s="570">
        <f t="shared" ref="U60:U62" si="4">U36</f>
        <v>0</v>
      </c>
      <c r="V60"/>
      <c r="W60"/>
      <c r="X60"/>
      <c r="Y60"/>
    </row>
    <row r="61" spans="1:33" ht="15.75" thickBot="1" x14ac:dyDescent="0.3">
      <c r="A61"/>
      <c r="B61" s="683" t="s">
        <v>1214</v>
      </c>
      <c r="C61" s="526" t="s">
        <v>1218</v>
      </c>
      <c r="D61" s="21"/>
      <c r="E61"/>
      <c r="F61"/>
      <c r="G61"/>
      <c r="H61"/>
      <c r="I61"/>
      <c r="J61" s="714" t="s">
        <v>58</v>
      </c>
      <c r="K61" s="715">
        <v>0</v>
      </c>
      <c r="L61" s="309"/>
      <c r="M61" s="309"/>
      <c r="N61" s="309" t="e">
        <f>N41/($P$31*(N37+0.001)*N57/N50)</f>
        <v>#DIV/0!</v>
      </c>
      <c r="O61" s="308">
        <f>O37</f>
        <v>0</v>
      </c>
      <c r="P61" s="309"/>
      <c r="Q61" s="715">
        <v>0</v>
      </c>
      <c r="R61" s="309"/>
      <c r="S61" s="309"/>
      <c r="T61" s="309" t="e">
        <f>T41/($P$31*(T37+0.001)*T57/T50)</f>
        <v>#DIV/0!</v>
      </c>
      <c r="U61" s="570">
        <f t="shared" si="4"/>
        <v>0</v>
      </c>
      <c r="V61"/>
      <c r="W61"/>
      <c r="X61" s="275"/>
      <c r="Y61"/>
    </row>
    <row r="62" spans="1:33" ht="15.75" thickBot="1" x14ac:dyDescent="0.3">
      <c r="A62"/>
      <c r="B62" s="579" t="s">
        <v>69</v>
      </c>
      <c r="C62" s="598">
        <v>1</v>
      </c>
      <c r="D62"/>
      <c r="E62" s="15"/>
      <c r="F62"/>
      <c r="G62" s="15"/>
      <c r="H62"/>
      <c r="I62"/>
      <c r="J62" s="716" t="s">
        <v>48</v>
      </c>
      <c r="K62" s="717" t="e">
        <f>K42/($P$31*K38*K58/K50)</f>
        <v>#DIV/0!</v>
      </c>
      <c r="L62" s="717">
        <f>L38</f>
        <v>0</v>
      </c>
      <c r="M62" s="717"/>
      <c r="N62" s="717" t="e">
        <f>N42/($P$31*N38*N58/N50)</f>
        <v>#DIV/0!</v>
      </c>
      <c r="O62" s="718">
        <f>O38</f>
        <v>0</v>
      </c>
      <c r="P62" s="717"/>
      <c r="Q62" s="717" t="e">
        <f>Q42/($P$31*Q38*Q58/Q50)</f>
        <v>#DIV/0!</v>
      </c>
      <c r="R62" s="717">
        <f>R38</f>
        <v>0</v>
      </c>
      <c r="S62" s="717"/>
      <c r="T62" s="717" t="e">
        <f>T42/($P$31*T38*T58/T50)</f>
        <v>#DIV/0!</v>
      </c>
      <c r="U62" s="666">
        <f t="shared" si="4"/>
        <v>0</v>
      </c>
      <c r="V62"/>
      <c r="W62"/>
      <c r="X62"/>
      <c r="Y62"/>
    </row>
    <row r="63" spans="1:33" x14ac:dyDescent="0.25">
      <c r="A63"/>
      <c r="B63" s="579">
        <v>1</v>
      </c>
      <c r="C63" s="598">
        <v>1.2</v>
      </c>
      <c r="D63"/>
      <c r="E63"/>
      <c r="F63"/>
      <c r="G63" s="18"/>
      <c r="H63"/>
      <c r="I63"/>
      <c r="J63" s="560" t="s">
        <v>62</v>
      </c>
      <c r="K63" s="713" t="e">
        <f>MAX(0,(1-VLOOKUP($D$19,$F$68:$G$73,2,FALSE)*K55/K50)/(1-K55/K50))</f>
        <v>#N/A</v>
      </c>
      <c r="L63" s="713"/>
      <c r="M63" s="713"/>
      <c r="N63" s="713" t="e">
        <f>MAX(0,(1-VLOOKUP($D$19,$F$68:$G$73,2,FALSE)*N55/N50)/(1-N55/N50))</f>
        <v>#N/A</v>
      </c>
      <c r="O63" s="713"/>
      <c r="P63" s="713"/>
      <c r="Q63" s="713" t="e">
        <f>MAX(0,(1-VLOOKUP($D$19,$F$68:$G$73,2,FALSE)*Q55/Q50)/(1-Q55/Q50))</f>
        <v>#N/A</v>
      </c>
      <c r="R63" s="713"/>
      <c r="S63" s="713"/>
      <c r="T63" s="713" t="e">
        <f>MAX(0,(1-VLOOKUP($D$19,$F$68:$G$73,2,FALSE)*T55/$T$50)/(1-T55/$T$50))</f>
        <v>#N/A</v>
      </c>
      <c r="U63" s="561"/>
      <c r="V63"/>
      <c r="W63"/>
      <c r="X63"/>
      <c r="Y63"/>
    </row>
    <row r="64" spans="1:33" x14ac:dyDescent="0.25">
      <c r="A64"/>
      <c r="B64" s="579">
        <v>2</v>
      </c>
      <c r="C64" s="598">
        <v>1.1000000000000001</v>
      </c>
      <c r="D64"/>
      <c r="E64" s="719"/>
      <c r="F64" s="720"/>
      <c r="G64" s="22"/>
      <c r="H64"/>
      <c r="I64"/>
      <c r="J64" s="17" t="s">
        <v>63</v>
      </c>
      <c r="K64" s="659">
        <v>0</v>
      </c>
      <c r="L64" s="18"/>
      <c r="M64" s="18"/>
      <c r="N64" s="308">
        <v>1</v>
      </c>
      <c r="O64" s="18"/>
      <c r="P64" s="18"/>
      <c r="Q64" s="659">
        <v>0</v>
      </c>
      <c r="R64" s="18"/>
      <c r="S64" s="18"/>
      <c r="T64" s="308">
        <v>1</v>
      </c>
      <c r="U64" s="570"/>
      <c r="V64"/>
      <c r="W64"/>
      <c r="X64"/>
      <c r="Y64"/>
    </row>
    <row r="65" spans="1:25" ht="15.75" thickBot="1" x14ac:dyDescent="0.3">
      <c r="A65"/>
      <c r="B65" s="545">
        <v>3</v>
      </c>
      <c r="C65" s="710">
        <v>1.05</v>
      </c>
      <c r="D65"/>
      <c r="E65" s="721"/>
      <c r="F65"/>
      <c r="G65" s="18"/>
      <c r="H65"/>
      <c r="I65"/>
      <c r="J65" s="17" t="s">
        <v>65</v>
      </c>
      <c r="K65" s="659">
        <v>0</v>
      </c>
      <c r="L65" s="18"/>
      <c r="M65" s="18"/>
      <c r="N65" s="308" t="e">
        <f>MAX(0,(1-VLOOKUP($D$19,$F$68:$G$73,2,FALSE)*N57/N50)/(1-N57/N50))</f>
        <v>#N/A</v>
      </c>
      <c r="O65" s="18"/>
      <c r="P65" s="18"/>
      <c r="Q65" s="659">
        <v>0</v>
      </c>
      <c r="R65" s="18"/>
      <c r="S65" s="18"/>
      <c r="T65" s="308" t="e">
        <f>MAX(0,(1-VLOOKUP($D$19,$F$68:$G$73,2,FALSE)*T57/$T$50)/(1-T57/$T$50))</f>
        <v>#N/A</v>
      </c>
      <c r="U65" s="570"/>
      <c r="V65"/>
      <c r="W65"/>
      <c r="X65"/>
      <c r="Y65"/>
    </row>
    <row r="66" spans="1:25" ht="15.75" thickBot="1" x14ac:dyDescent="0.3">
      <c r="A66"/>
      <c r="B66"/>
      <c r="C66" s="258"/>
      <c r="D66"/>
      <c r="E66"/>
      <c r="F66"/>
      <c r="G66" s="18"/>
      <c r="H66"/>
      <c r="I66"/>
      <c r="J66" s="19" t="s">
        <v>64</v>
      </c>
      <c r="K66" s="663">
        <v>1</v>
      </c>
      <c r="L66" s="663"/>
      <c r="M66" s="663"/>
      <c r="N66" s="722">
        <v>1</v>
      </c>
      <c r="O66" s="663"/>
      <c r="P66" s="663"/>
      <c r="Q66" s="722">
        <v>1</v>
      </c>
      <c r="R66" s="663"/>
      <c r="S66" s="663"/>
      <c r="T66" s="722">
        <v>1</v>
      </c>
      <c r="U66" s="666"/>
      <c r="V66"/>
      <c r="W66"/>
      <c r="X66"/>
      <c r="Y66"/>
    </row>
    <row r="67" spans="1:25" ht="15.75" thickBot="1" x14ac:dyDescent="0.3">
      <c r="A67"/>
      <c r="B67" s="560" t="s">
        <v>1213</v>
      </c>
      <c r="C67" s="723"/>
      <c r="D67" s="21"/>
      <c r="E67"/>
      <c r="F67" s="315" t="s">
        <v>946</v>
      </c>
      <c r="G67" s="316" t="s">
        <v>947</v>
      </c>
      <c r="H67"/>
      <c r="I67"/>
      <c r="J67" s="560" t="s">
        <v>39</v>
      </c>
      <c r="K67" s="713" t="e">
        <f>K63*0.5*K50*(1-K55/K50)^2/(1-MIN(1,K59)*K55/K50)+225*(K59-1+SQRT((K59-1)^2+16*K59/(K39/K59)))</f>
        <v>#N/A</v>
      </c>
      <c r="L67" s="713">
        <f>L59</f>
        <v>0</v>
      </c>
      <c r="M67" s="713"/>
      <c r="N67" s="713" t="e">
        <f>N63*0.5*N50*(1-N55/N50)^2/(1-MIN(1,N59)*N55/N50)+225*(N59-1+SQRT((N59-1)^2+16*N59/(N39/N59)))</f>
        <v>#N/A</v>
      </c>
      <c r="O67" s="724">
        <f>O59</f>
        <v>0</v>
      </c>
      <c r="P67" s="713"/>
      <c r="Q67" s="713" t="e">
        <f>Q63*0.5*Q50*(1-Q55/Q50)^2/(1-MIN(1,Q59)*Q55/Q50)+225*(Q59-1+SQRT((Q59-1)^2+16*Q59/(Q39/Q59)))</f>
        <v>#N/A</v>
      </c>
      <c r="R67" s="713">
        <f>R59</f>
        <v>0</v>
      </c>
      <c r="S67" s="713"/>
      <c r="T67" s="713" t="e">
        <f>T63*0.5*T50*(1-T55/T50)^2/(1-MIN(1,T59)*T55/T50)+225*(T59-1+SQRT((T59-1)^2+16*T59/(T39/T59)))</f>
        <v>#N/A</v>
      </c>
      <c r="U67" s="561">
        <f>U59</f>
        <v>0</v>
      </c>
      <c r="V67"/>
      <c r="W67"/>
      <c r="X67"/>
      <c r="Y67"/>
    </row>
    <row r="68" spans="1:25" ht="15.75" thickBot="1" x14ac:dyDescent="0.3">
      <c r="A68"/>
      <c r="B68" s="560"/>
      <c r="C68" s="484"/>
      <c r="D68" s="561"/>
      <c r="E68"/>
      <c r="F68" s="317">
        <v>1</v>
      </c>
      <c r="G68" s="318">
        <v>0.33</v>
      </c>
      <c r="H68"/>
      <c r="I68"/>
      <c r="J68" s="17" t="s">
        <v>36</v>
      </c>
      <c r="K68" s="725">
        <v>0</v>
      </c>
      <c r="L68" s="308"/>
      <c r="M68" s="308"/>
      <c r="N68" s="308" t="e">
        <f>N64*0.5*N50*(1-N56/N50)^2/(1-MIN(1,N60)*N56/N50)+225*(N60-1+SQRT((N60-1)^2+16*N60/(N40/N60)))</f>
        <v>#DIV/0!</v>
      </c>
      <c r="O68" s="275">
        <f>O60</f>
        <v>0</v>
      </c>
      <c r="P68" s="308"/>
      <c r="Q68" s="725">
        <v>0</v>
      </c>
      <c r="R68" s="308"/>
      <c r="S68" s="308"/>
      <c r="T68" s="308" t="e">
        <f>T64*0.5*T50*(1-T56/T50)^2/(1-MIN(1,T60)*T56/T50)+225*(T60-1+SQRT((T60-1)^2+16*T60/(T40/T60)))</f>
        <v>#DIV/0!</v>
      </c>
      <c r="U68" s="570">
        <f t="shared" ref="U68:U70" si="5">U60</f>
        <v>0</v>
      </c>
      <c r="V68"/>
      <c r="W68"/>
      <c r="X68"/>
      <c r="Y68"/>
    </row>
    <row r="69" spans="1:25" ht="16.5" thickBot="1" x14ac:dyDescent="0.3">
      <c r="A69"/>
      <c r="B69" s="423" t="s">
        <v>82</v>
      </c>
      <c r="C69" s="424" t="s">
        <v>79</v>
      </c>
      <c r="D69" s="425" t="s">
        <v>80</v>
      </c>
      <c r="E69"/>
      <c r="F69" s="317">
        <v>2</v>
      </c>
      <c r="G69" s="318">
        <v>0.67</v>
      </c>
      <c r="H69"/>
      <c r="I69"/>
      <c r="J69" s="17" t="s">
        <v>37</v>
      </c>
      <c r="K69" s="725">
        <v>0</v>
      </c>
      <c r="L69" s="308"/>
      <c r="M69" s="308"/>
      <c r="N69" s="308" t="e">
        <f>IF(N37=0,0,1)*(N65*0.5*N51*(1-N57/N50)^2/(1-MIN(1,N61)*N57/N50)+225*(N61-1+SQRT((N61-1)^2+16*N61/($P$31*MAX(1,N37)*N57/N50))))</f>
        <v>#N/A</v>
      </c>
      <c r="O69" s="275">
        <f>O61</f>
        <v>0</v>
      </c>
      <c r="P69" s="308"/>
      <c r="Q69" s="725">
        <v>0</v>
      </c>
      <c r="R69" s="308"/>
      <c r="S69" s="308"/>
      <c r="T69" s="308" t="e">
        <f>IF(T37=0,0,1)*(T65*0.5*T51*(1-T57/T50)^2/(1-MIN(1,T61)*T57/T50)+225*(T61-1+SQRT((T61-1)^2+16*T61/($P$31*MAX(1,T37)*T57/T50))))</f>
        <v>#N/A</v>
      </c>
      <c r="U69" s="570">
        <f t="shared" si="5"/>
        <v>0</v>
      </c>
      <c r="V69"/>
      <c r="W69"/>
      <c r="X69"/>
      <c r="Y69"/>
    </row>
    <row r="70" spans="1:25" ht="15.75" thickBot="1" x14ac:dyDescent="0.3">
      <c r="A70"/>
      <c r="B70" s="17" t="s">
        <v>83</v>
      </c>
      <c r="C70" s="400" t="e">
        <f>N62</f>
        <v>#DIV/0!</v>
      </c>
      <c r="D70" s="570" t="e">
        <f>MAX(0.09,1-0.91*C70^2.68)</f>
        <v>#DIV/0!</v>
      </c>
      <c r="E70"/>
      <c r="F70" s="317">
        <v>3</v>
      </c>
      <c r="G70" s="318">
        <v>1</v>
      </c>
      <c r="H70"/>
      <c r="I70"/>
      <c r="J70" s="19" t="s">
        <v>38</v>
      </c>
      <c r="K70" s="718" t="e">
        <f>0.5*K50*(1-K58/K50)^2/(1-MIN(1,K62)*K58/K50)+225*(K62-1+SQRT((K62-1)^2+16*K62*$D$70/(K42/K62)))</f>
        <v>#DIV/0!</v>
      </c>
      <c r="L70" s="718">
        <f>L62</f>
        <v>0</v>
      </c>
      <c r="M70" s="718"/>
      <c r="N70" s="718" t="e">
        <f>N66*0.5*N50*(1-N58/N50)^2/(1-MIN(1,N62)*N58/N50)+225*(N62-1+SQRT((N62-1)^2+16*N62/(N42/N62)))</f>
        <v>#DIV/0!</v>
      </c>
      <c r="O70" s="726">
        <f>O62</f>
        <v>0</v>
      </c>
      <c r="P70" s="718"/>
      <c r="Q70" s="718" t="e">
        <f>0.5*Q50*(1-Q58/Q50)^2/(1-MIN(1,Q62)*Q58/Q50)+225*(Q62-1+SQRT((Q62-1)^2+16*Q62*D71/(Q42/Q62)))</f>
        <v>#DIV/0!</v>
      </c>
      <c r="R70" s="718">
        <f>R62</f>
        <v>0</v>
      </c>
      <c r="S70" s="718"/>
      <c r="T70" s="718" t="e">
        <f>T66*0.5*T50*(1-T58/T50)^2/(1-MIN(1,T62)*T58/T50)+225*(T62-1+SQRT((T62-1)^2+16*T62/(T42/T62)))</f>
        <v>#DIV/0!</v>
      </c>
      <c r="U70" s="666">
        <f t="shared" si="5"/>
        <v>0</v>
      </c>
      <c r="V70"/>
      <c r="W70"/>
      <c r="X70"/>
      <c r="Y70"/>
    </row>
    <row r="71" spans="1:25" ht="16.5" thickBot="1" x14ac:dyDescent="0.3">
      <c r="A71"/>
      <c r="B71" s="19" t="s">
        <v>81</v>
      </c>
      <c r="C71" s="727" t="e">
        <f>T62</f>
        <v>#DIV/0!</v>
      </c>
      <c r="D71" s="666" t="e">
        <f>MAX(0.09,1-0.91*C71^2.68)</f>
        <v>#DIV/0!</v>
      </c>
      <c r="E71"/>
      <c r="F71" s="317">
        <v>4</v>
      </c>
      <c r="G71" s="318">
        <v>1.33</v>
      </c>
      <c r="H71"/>
      <c r="I71"/>
      <c r="J71" s="728" t="s">
        <v>67</v>
      </c>
      <c r="K71" s="729" t="e">
        <f>SUMPRODUCT(K67:K70,K39:K42)/SUM(K39:K42)</f>
        <v>#N/A</v>
      </c>
      <c r="L71" s="729"/>
      <c r="M71" s="729"/>
      <c r="N71" s="729" t="e">
        <f>SUMPRODUCT(N67:N70,N39:N42)/SUM(N39:N42)</f>
        <v>#N/A</v>
      </c>
      <c r="O71" s="729"/>
      <c r="P71" s="729"/>
      <c r="Q71" s="729" t="e">
        <f>SUMPRODUCT(Q67:Q70,Q39:Q42)/SUM(Q39:Q42)</f>
        <v>#N/A</v>
      </c>
      <c r="R71" s="729"/>
      <c r="S71" s="729"/>
      <c r="T71" s="729" t="e">
        <f>SUMPRODUCT(T67:T70,T39:T42)/SUM(T39:T42)</f>
        <v>#N/A</v>
      </c>
      <c r="U71" s="730"/>
      <c r="V71"/>
      <c r="W71"/>
      <c r="X71"/>
      <c r="Y71"/>
    </row>
    <row r="72" spans="1:25" x14ac:dyDescent="0.25">
      <c r="A72"/>
      <c r="B72"/>
      <c r="C72"/>
      <c r="D72"/>
      <c r="E72"/>
      <c r="F72" s="317">
        <v>5</v>
      </c>
      <c r="G72" s="318">
        <v>1.67</v>
      </c>
      <c r="H72"/>
      <c r="I72"/>
      <c r="J72" s="560" t="s">
        <v>56</v>
      </c>
      <c r="K72" s="731" t="e">
        <f>50*K67*(K39/K59)/(3600*K35)</f>
        <v>#N/A</v>
      </c>
      <c r="L72" s="732"/>
      <c r="M72" s="731" t="s">
        <v>86</v>
      </c>
      <c r="N72" s="731" t="e">
        <f>50*N67*(N39/N59)/(3600*N35)</f>
        <v>#N/A</v>
      </c>
      <c r="O72" s="732" t="e">
        <f>IF(N72&gt;$D$11,"LOS=F","OK")</f>
        <v>#N/A</v>
      </c>
      <c r="P72" s="731"/>
      <c r="Q72" s="731" t="e">
        <f>50*Q67*(Q39/Q59)/(3600*Q35)</f>
        <v>#N/A</v>
      </c>
      <c r="R72" s="732"/>
      <c r="S72" s="731" t="s">
        <v>86</v>
      </c>
      <c r="T72" s="731" t="e">
        <f>50*T67*(T39/T59)/(3600*T35)</f>
        <v>#N/A</v>
      </c>
      <c r="U72" s="733" t="e">
        <f>IF(T72&gt;$D$11,"LOS=F","OK")</f>
        <v>#N/A</v>
      </c>
      <c r="V72"/>
      <c r="W72"/>
      <c r="X72"/>
      <c r="Y72"/>
    </row>
    <row r="73" spans="1:25" ht="15.75" thickBot="1" x14ac:dyDescent="0.3">
      <c r="A73"/>
      <c r="B73"/>
      <c r="C73"/>
      <c r="D73"/>
      <c r="E73"/>
      <c r="F73" s="330">
        <v>6</v>
      </c>
      <c r="G73" s="331">
        <v>2</v>
      </c>
      <c r="H73"/>
      <c r="I73"/>
      <c r="J73" s="17" t="s">
        <v>53</v>
      </c>
      <c r="K73" s="504"/>
      <c r="L73" s="49"/>
      <c r="M73" s="20" t="s">
        <v>86</v>
      </c>
      <c r="N73" s="20" t="e">
        <f t="shared" ref="N73:N75" si="6">50*N68*(N40/N60)/(3600*N36)</f>
        <v>#DIV/0!</v>
      </c>
      <c r="O73" s="49" t="e">
        <f>IF(N73&gt;$D$11,"LOS=F","OK")</f>
        <v>#DIV/0!</v>
      </c>
      <c r="P73" s="20"/>
      <c r="Q73" s="504"/>
      <c r="R73" s="49"/>
      <c r="S73" s="20" t="s">
        <v>86</v>
      </c>
      <c r="T73" s="20" t="e">
        <f t="shared" ref="T73:T75" si="7">50*T68*(T40/T60)/(3600*T36)</f>
        <v>#DIV/0!</v>
      </c>
      <c r="U73" s="734" t="e">
        <f>IF(T73&gt;$D$11,"LOS=F","OK")</f>
        <v>#DIV/0!</v>
      </c>
      <c r="V73"/>
      <c r="W73"/>
      <c r="X73"/>
      <c r="Y73"/>
    </row>
    <row r="74" spans="1:25" x14ac:dyDescent="0.25">
      <c r="A74"/>
      <c r="B74"/>
      <c r="C74"/>
      <c r="D74"/>
      <c r="E74"/>
      <c r="F74"/>
      <c r="G74"/>
      <c r="H74"/>
      <c r="I74"/>
      <c r="J74" s="17" t="s">
        <v>54</v>
      </c>
      <c r="K74" s="504"/>
      <c r="L74" s="49"/>
      <c r="M74" s="20" t="s">
        <v>86</v>
      </c>
      <c r="N74" s="20" t="e">
        <f>IF(N37=0,0,1)*(50*N69*P31*N37*N57/N50)/(3600*(N37+0.0001))</f>
        <v>#N/A</v>
      </c>
      <c r="O74" s="49" t="e">
        <f>IF(N74&gt;$D$11,"LOS=F","OK")</f>
        <v>#N/A</v>
      </c>
      <c r="P74" s="20"/>
      <c r="Q74" s="504"/>
      <c r="R74" s="49"/>
      <c r="S74" s="20" t="s">
        <v>86</v>
      </c>
      <c r="T74" s="20" t="e">
        <f>IF(T37=0,0,1)*(50*T69*V31*T37*T57/T50)/(3600*(T37+0.0001))</f>
        <v>#N/A</v>
      </c>
      <c r="U74" s="734" t="e">
        <f>IF(T74&gt;$D$11,"LOS=F","OK")</f>
        <v>#N/A</v>
      </c>
      <c r="V74"/>
      <c r="W74"/>
      <c r="X74"/>
      <c r="Y74"/>
    </row>
    <row r="75" spans="1:25" ht="15.75" thickBot="1" x14ac:dyDescent="0.3">
      <c r="A75"/>
      <c r="B75"/>
      <c r="C75"/>
      <c r="D75"/>
      <c r="E75"/>
      <c r="F75"/>
      <c r="G75"/>
      <c r="H75"/>
      <c r="I75"/>
      <c r="J75" s="19" t="s">
        <v>55</v>
      </c>
      <c r="K75" s="671" t="e">
        <f>50*K70*(K42/K62)/(3600*K38)</f>
        <v>#DIV/0!</v>
      </c>
      <c r="L75" s="735" t="e">
        <f>IF(K75&gt;$D$11,"LOS=F","OK")</f>
        <v>#DIV/0!</v>
      </c>
      <c r="M75" s="671" t="s">
        <v>86</v>
      </c>
      <c r="N75" s="671" t="e">
        <f t="shared" si="6"/>
        <v>#DIV/0!</v>
      </c>
      <c r="O75" s="735" t="e">
        <f>IF(N75&gt;$D$11,"LOS=F","OK")</f>
        <v>#DIV/0!</v>
      </c>
      <c r="P75" s="671"/>
      <c r="Q75" s="671" t="e">
        <f>50*Q70*(Q42/Q62)/(3600*Q38)</f>
        <v>#DIV/0!</v>
      </c>
      <c r="R75" s="735" t="e">
        <f>IF(Q75&gt;$D$11,"LOS=F","OK")</f>
        <v>#DIV/0!</v>
      </c>
      <c r="S75" s="671" t="s">
        <v>86</v>
      </c>
      <c r="T75" s="671" t="e">
        <f t="shared" si="7"/>
        <v>#DIV/0!</v>
      </c>
      <c r="U75" s="736" t="e">
        <f>IF(T75&gt;$D$11,"LOS=F","OK")</f>
        <v>#DIV/0!</v>
      </c>
      <c r="V75"/>
      <c r="W75"/>
      <c r="X75"/>
      <c r="Y75"/>
    </row>
    <row r="76" spans="1:25" ht="15.75" x14ac:dyDescent="0.25">
      <c r="A76"/>
      <c r="B76"/>
      <c r="C76"/>
      <c r="D76"/>
      <c r="E76"/>
      <c r="F76"/>
      <c r="G76"/>
      <c r="H76"/>
      <c r="I76"/>
      <c r="J76"/>
      <c r="K76" s="737"/>
      <c r="L76" s="737"/>
      <c r="M76" s="737"/>
      <c r="N76" s="737"/>
      <c r="O76" s="737"/>
      <c r="P76" s="737"/>
      <c r="Q76" s="737"/>
      <c r="R76" s="737"/>
      <c r="S76" s="737"/>
      <c r="T76" s="737"/>
      <c r="U76" s="18"/>
      <c r="V76"/>
      <c r="W76"/>
      <c r="X76"/>
      <c r="Y76"/>
    </row>
    <row r="77" spans="1:25" x14ac:dyDescent="0.25">
      <c r="A77"/>
      <c r="B77"/>
      <c r="C77"/>
      <c r="D77"/>
      <c r="E77"/>
      <c r="F77"/>
      <c r="G77"/>
      <c r="H77"/>
      <c r="I77"/>
      <c r="J77"/>
      <c r="K77" s="308"/>
      <c r="L77" s="33"/>
      <c r="M77" s="308"/>
      <c r="N77" s="308"/>
      <c r="O77" s="33"/>
      <c r="P77" s="308"/>
      <c r="Q77" s="308"/>
      <c r="R77" s="33"/>
      <c r="S77" s="308"/>
      <c r="T77" s="308"/>
      <c r="U77" s="33"/>
      <c r="V77"/>
      <c r="W77"/>
      <c r="X77"/>
      <c r="Y77"/>
    </row>
    <row r="78" spans="1:25" x14ac:dyDescent="0.25">
      <c r="A78"/>
      <c r="B78"/>
      <c r="C78"/>
      <c r="D78"/>
      <c r="E78"/>
      <c r="F78"/>
      <c r="G78"/>
      <c r="H78"/>
      <c r="I78"/>
      <c r="J78"/>
      <c r="K78" s="308"/>
      <c r="L78" s="308"/>
      <c r="M78" s="308"/>
      <c r="N78" s="308"/>
      <c r="O78" s="33"/>
      <c r="P78" s="308"/>
      <c r="Q78" s="308"/>
      <c r="R78" s="33"/>
      <c r="S78" s="308"/>
      <c r="T78" s="308"/>
      <c r="U78" s="33"/>
      <c r="V78"/>
      <c r="W78"/>
      <c r="X78"/>
      <c r="Y78"/>
    </row>
    <row r="79" spans="1:25" x14ac:dyDescent="0.25">
      <c r="A79"/>
      <c r="B79"/>
      <c r="C79"/>
      <c r="D79"/>
      <c r="E79"/>
      <c r="F79"/>
      <c r="G79"/>
      <c r="H79"/>
      <c r="I79"/>
      <c r="J79"/>
      <c r="K79" s="308"/>
      <c r="L79" s="308"/>
      <c r="M79" s="308"/>
      <c r="N79" s="308"/>
      <c r="O79" s="33"/>
      <c r="P79" s="308"/>
      <c r="Q79" s="308"/>
      <c r="R79" s="33"/>
      <c r="S79" s="308"/>
      <c r="T79" s="308"/>
      <c r="U79" s="33"/>
      <c r="V79"/>
      <c r="W79"/>
      <c r="X79"/>
      <c r="Y79"/>
    </row>
    <row r="80" spans="1:25" x14ac:dyDescent="0.25">
      <c r="A80"/>
      <c r="B80"/>
      <c r="C80"/>
      <c r="D80"/>
      <c r="E80"/>
      <c r="F80"/>
      <c r="G80"/>
      <c r="H80"/>
      <c r="I80"/>
      <c r="J80"/>
      <c r="K80" s="308"/>
      <c r="L80" s="308"/>
      <c r="M80" s="308"/>
      <c r="N80" s="308"/>
      <c r="O80" s="33"/>
      <c r="P80" s="308"/>
      <c r="Q80" s="308"/>
      <c r="R80" s="33"/>
      <c r="S80" s="308"/>
      <c r="T80" s="308"/>
      <c r="U80" s="33"/>
      <c r="V80"/>
      <c r="W80"/>
      <c r="X80"/>
      <c r="Y80"/>
    </row>
    <row r="81" spans="8:12" x14ac:dyDescent="0.25">
      <c r="H81" s="5"/>
      <c r="L81" s="4"/>
    </row>
    <row r="85" spans="8:12" x14ac:dyDescent="0.25">
      <c r="H85" s="5"/>
    </row>
  </sheetData>
  <sheetProtection algorithmName="SHA-512" hashValue="olbicMJxFKGdAvlgYjLsX13A+OfDzaOiCeYsLjlb2czguK1H817k7dNl0Hw6RZIOs4quNxeOH8tnOZYQbh2xiQ==" saltValue="7e+njEAN56IlQWqL/Q6Yzw==" spinCount="100000" sheet="1" objects="1" scenarios="1"/>
  <mergeCells count="20">
    <mergeCell ref="J46:U46"/>
    <mergeCell ref="K34:L34"/>
    <mergeCell ref="N34:O34"/>
    <mergeCell ref="Q34:R34"/>
    <mergeCell ref="T34:U34"/>
    <mergeCell ref="J32:J34"/>
    <mergeCell ref="B3:D3"/>
    <mergeCell ref="J3:V3"/>
    <mergeCell ref="G18:H18"/>
    <mergeCell ref="F40:G40"/>
    <mergeCell ref="F42:G42"/>
    <mergeCell ref="B20:C20"/>
    <mergeCell ref="B19:C19"/>
    <mergeCell ref="E26:F26"/>
    <mergeCell ref="E27:F27"/>
    <mergeCell ref="X6:Y6"/>
    <mergeCell ref="X5:Y5"/>
    <mergeCell ref="B21:C21"/>
    <mergeCell ref="U20:V20"/>
    <mergeCell ref="G20:H20"/>
  </mergeCells>
  <conditionalFormatting sqref="K22:Q22 K18:N19 P18:P19 K20:P20 R21:V21">
    <cfRule type="cellIs" dxfId="88" priority="11" operator="equal">
      <formula>"F"</formula>
    </cfRule>
  </conditionalFormatting>
  <conditionalFormatting sqref="K22:T22">
    <cfRule type="colorScale" priority="9">
      <colorScale>
        <cfvo type="min"/>
        <cfvo type="percentile" val="50"/>
        <cfvo type="max"/>
        <color rgb="FF63BE7B"/>
        <color rgb="FFFFEB84"/>
        <color rgb="FFF8696B"/>
      </colorScale>
    </cfRule>
  </conditionalFormatting>
  <conditionalFormatting sqref="K15:V15">
    <cfRule type="colorScale" priority="15">
      <colorScale>
        <cfvo type="min"/>
        <cfvo type="percentile" val="50"/>
        <cfvo type="max"/>
        <color rgb="FF63BE7B"/>
        <color rgb="FFFFEB84"/>
        <color rgb="FFF8696B"/>
      </colorScale>
    </cfRule>
  </conditionalFormatting>
  <conditionalFormatting sqref="K17:V17">
    <cfRule type="cellIs" dxfId="87" priority="3" operator="equal">
      <formula>"D"</formula>
    </cfRule>
    <cfRule type="cellIs" dxfId="86" priority="5" operator="equal">
      <formula>"F"</formula>
    </cfRule>
    <cfRule type="colorScale" priority="6">
      <colorScale>
        <cfvo type="min"/>
        <cfvo type="percentile" val="50"/>
        <cfvo type="max"/>
        <color rgb="FF5A8AC6"/>
        <color rgb="FFFCFCFF"/>
        <color rgb="FFF8696B"/>
      </colorScale>
    </cfRule>
  </conditionalFormatting>
  <conditionalFormatting sqref="K22:V22">
    <cfRule type="colorScale" priority="8">
      <colorScale>
        <cfvo type="min"/>
        <cfvo type="percentile" val="50"/>
        <cfvo type="max"/>
        <color rgb="FF63BE7B"/>
        <color rgb="FFFFEB84"/>
        <color rgb="FFF8696B"/>
      </colorScale>
    </cfRule>
  </conditionalFormatting>
  <conditionalFormatting sqref="P59:Q59 S59:T59 K59:K62 M59:N62 P60:T61 P62:Q62 S62:T62">
    <cfRule type="cellIs" dxfId="85" priority="1" operator="greaterThan">
      <formula>1</formula>
    </cfRule>
  </conditionalFormatting>
  <conditionalFormatting sqref="R21:V21 K22:Q22 K20:P20 K18:N19 P18:P19">
    <cfRule type="colorScale" priority="14">
      <colorScale>
        <cfvo type="min"/>
        <cfvo type="percentile" val="50"/>
        <cfvo type="max"/>
        <color rgb="FF63BE7B"/>
        <color rgb="FFFFEB84"/>
        <color rgb="FFF8696B"/>
      </colorScale>
    </cfRule>
  </conditionalFormatting>
  <conditionalFormatting sqref="T29">
    <cfRule type="cellIs" dxfId="84" priority="4" operator="equal">
      <formula>"E"</formula>
    </cfRule>
  </conditionalFormatting>
  <conditionalFormatting sqref="U20:V20">
    <cfRule type="containsText" dxfId="83" priority="10" operator="containsText" text="YES">
      <formula>NOT(ISERROR(SEARCH("YES",U20)))</formula>
    </cfRule>
  </conditionalFormatting>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B1:AD106"/>
  <sheetViews>
    <sheetView topLeftCell="A26" zoomScale="130" zoomScaleNormal="130" workbookViewId="0">
      <selection activeCell="K31" sqref="K31"/>
    </sheetView>
  </sheetViews>
  <sheetFormatPr defaultColWidth="8.85546875" defaultRowHeight="15" x14ac:dyDescent="0.25"/>
  <cols>
    <col min="1" max="1" width="4.42578125" customWidth="1"/>
    <col min="3" max="3" width="48.85546875" customWidth="1"/>
    <col min="4" max="4" width="9.140625" customWidth="1"/>
    <col min="5" max="5" width="12" customWidth="1"/>
    <col min="6" max="6" width="7.42578125" customWidth="1"/>
    <col min="7" max="7" width="10.140625" customWidth="1"/>
    <col min="8" max="8" width="7.140625" customWidth="1"/>
    <col min="9" max="9" width="3.140625" customWidth="1"/>
    <col min="10" max="10" width="35.42578125" customWidth="1"/>
    <col min="11" max="11" width="11.85546875" bestFit="1" customWidth="1"/>
    <col min="14" max="14" width="9.7109375" customWidth="1"/>
    <col min="15" max="15" width="15.140625" customWidth="1"/>
    <col min="16" max="16" width="7.42578125" customWidth="1"/>
    <col min="17" max="17" width="11.28515625" customWidth="1"/>
    <col min="20" max="20" width="10.140625" customWidth="1"/>
    <col min="21" max="21" width="11" customWidth="1"/>
    <col min="22" max="22" width="14.28515625" customWidth="1"/>
    <col min="23" max="23" width="0.42578125" customWidth="1"/>
    <col min="25" max="25" width="10.7109375" customWidth="1"/>
  </cols>
  <sheetData>
    <row r="1" spans="2:25" ht="4.5" hidden="1" customHeight="1" x14ac:dyDescent="0.25"/>
    <row r="2" spans="2:25" ht="4.5" customHeight="1" thickBot="1" x14ac:dyDescent="0.3"/>
    <row r="3" spans="2:25" ht="19.5" thickBot="1" x14ac:dyDescent="0.35">
      <c r="B3" s="1685" t="s">
        <v>0</v>
      </c>
      <c r="C3" s="1686"/>
      <c r="D3" s="1687"/>
      <c r="J3" s="1703" t="s">
        <v>1075</v>
      </c>
      <c r="K3" s="1704"/>
      <c r="L3" s="1704"/>
      <c r="M3" s="1704"/>
      <c r="N3" s="1704"/>
      <c r="O3" s="1704"/>
      <c r="P3" s="1704"/>
      <c r="Q3" s="1704"/>
      <c r="R3" s="1704"/>
      <c r="S3" s="1704"/>
      <c r="T3" s="1704"/>
      <c r="U3" s="1704"/>
      <c r="V3" s="1705"/>
    </row>
    <row r="4" spans="2:25" ht="5.25" customHeight="1" thickBot="1" x14ac:dyDescent="0.3"/>
    <row r="5" spans="2:25" ht="20.25" customHeight="1" thickBot="1" x14ac:dyDescent="0.3">
      <c r="B5" s="560" t="s">
        <v>1043</v>
      </c>
      <c r="C5" s="484"/>
      <c r="D5" s="1632">
        <f>'GLOBAL INPUTS'!F55</f>
        <v>0</v>
      </c>
      <c r="E5" s="1633"/>
      <c r="F5" s="1633"/>
      <c r="G5" s="1633"/>
      <c r="H5" s="1634"/>
    </row>
    <row r="6" spans="2:25" ht="15.75" x14ac:dyDescent="0.25">
      <c r="B6" s="17" t="s">
        <v>1089</v>
      </c>
      <c r="D6" s="571">
        <f>'GLOBAL INPUTS'!F56</f>
        <v>0</v>
      </c>
      <c r="E6" s="483"/>
      <c r="F6" s="1729"/>
      <c r="G6" s="1729"/>
      <c r="H6" s="1729"/>
      <c r="I6" s="740"/>
      <c r="J6" s="741" t="s">
        <v>6</v>
      </c>
      <c r="K6" s="567">
        <v>2</v>
      </c>
      <c r="L6" s="567">
        <v>2</v>
      </c>
      <c r="M6" s="568">
        <v>2</v>
      </c>
      <c r="N6" s="569">
        <v>4</v>
      </c>
      <c r="O6" s="567">
        <v>4</v>
      </c>
      <c r="P6" s="568">
        <v>4</v>
      </c>
      <c r="Q6" s="569">
        <v>6</v>
      </c>
      <c r="R6" s="567">
        <v>6</v>
      </c>
      <c r="S6" s="568">
        <v>6</v>
      </c>
      <c r="T6" s="569">
        <v>8</v>
      </c>
      <c r="U6" s="567">
        <v>8</v>
      </c>
      <c r="V6" s="568">
        <v>8</v>
      </c>
      <c r="W6" s="1"/>
    </row>
    <row r="7" spans="2:25" ht="15.75" x14ac:dyDescent="0.25">
      <c r="B7" s="17" t="s">
        <v>1044</v>
      </c>
      <c r="D7" s="576">
        <f>'GLOBAL INPUTS'!F57</f>
        <v>0</v>
      </c>
      <c r="E7" s="742" t="s">
        <v>1035</v>
      </c>
      <c r="F7" s="1648"/>
      <c r="G7" s="1648"/>
      <c r="J7" s="573" t="s">
        <v>7</v>
      </c>
      <c r="K7" s="32">
        <v>4</v>
      </c>
      <c r="L7" s="32">
        <v>6</v>
      </c>
      <c r="M7" s="574">
        <v>8</v>
      </c>
      <c r="N7" s="575">
        <v>6</v>
      </c>
      <c r="O7" s="32">
        <v>8</v>
      </c>
      <c r="P7" s="574">
        <v>2</v>
      </c>
      <c r="Q7" s="575">
        <v>8</v>
      </c>
      <c r="R7" s="32">
        <v>2</v>
      </c>
      <c r="S7" s="574">
        <v>4</v>
      </c>
      <c r="T7" s="575">
        <v>2</v>
      </c>
      <c r="U7" s="32">
        <v>4</v>
      </c>
      <c r="V7" s="574">
        <v>6</v>
      </c>
      <c r="W7" s="1"/>
    </row>
    <row r="8" spans="2:25" ht="15.75" thickBot="1" x14ac:dyDescent="0.3">
      <c r="B8" s="17" t="s">
        <v>469</v>
      </c>
      <c r="D8" s="576">
        <f>'GLOBAL INPUTS'!F58</f>
        <v>0</v>
      </c>
      <c r="E8" s="742"/>
      <c r="J8" s="577" t="s">
        <v>8</v>
      </c>
      <c r="K8" s="18" t="s">
        <v>9</v>
      </c>
      <c r="L8" s="18" t="s">
        <v>10</v>
      </c>
      <c r="M8" s="578" t="s">
        <v>11</v>
      </c>
      <c r="N8" s="579" t="s">
        <v>9</v>
      </c>
      <c r="O8" s="18" t="s">
        <v>10</v>
      </c>
      <c r="P8" s="578" t="s">
        <v>11</v>
      </c>
      <c r="Q8" s="579" t="s">
        <v>9</v>
      </c>
      <c r="R8" s="18" t="s">
        <v>10</v>
      </c>
      <c r="S8" s="578" t="s">
        <v>11</v>
      </c>
      <c r="T8" s="579" t="s">
        <v>9</v>
      </c>
      <c r="U8" s="18" t="s">
        <v>10</v>
      </c>
      <c r="V8" s="578" t="s">
        <v>11</v>
      </c>
      <c r="W8" s="1"/>
    </row>
    <row r="9" spans="2:25" ht="16.5" thickBot="1" x14ac:dyDescent="0.3">
      <c r="B9" s="17" t="s">
        <v>1002</v>
      </c>
      <c r="D9" s="576">
        <f>'GLOBAL INPUTS'!F59</f>
        <v>0</v>
      </c>
      <c r="E9" s="742" t="s">
        <v>2</v>
      </c>
      <c r="J9" s="587" t="s">
        <v>41</v>
      </c>
      <c r="K9" s="743"/>
      <c r="L9" s="744">
        <f>D6</f>
        <v>0</v>
      </c>
      <c r="M9" s="745"/>
      <c r="N9" s="746"/>
      <c r="O9" s="744" t="str">
        <f>IF($D$6="SB","WB",IF($D$6="NB","EB",IF($D$6="EB","SB","NB")))</f>
        <v>NB</v>
      </c>
      <c r="P9" s="745"/>
      <c r="Q9" s="746"/>
      <c r="R9" s="744" t="str">
        <f>IF($D$6="SB","NB",IF($D$6="NB","SB",IF($D$6="EB","WB","EB")))</f>
        <v>EB</v>
      </c>
      <c r="S9" s="745"/>
      <c r="T9" s="746"/>
      <c r="U9" s="744" t="str">
        <f>IF(O9="SB","NB",IF(O9="NB","SB",IF(O9="EB","WB","EB")))</f>
        <v>SB</v>
      </c>
      <c r="V9" s="747"/>
      <c r="W9" s="1"/>
    </row>
    <row r="10" spans="2:25" ht="16.5" thickBot="1" x14ac:dyDescent="0.3">
      <c r="B10" s="17" t="s">
        <v>1070</v>
      </c>
      <c r="D10" s="571" t="s">
        <v>69</v>
      </c>
      <c r="E10" s="742"/>
      <c r="J10" s="748" t="s">
        <v>1090</v>
      </c>
      <c r="K10" s="749">
        <f>'GLOBAL INPUTS'!S56</f>
        <v>0</v>
      </c>
      <c r="L10" s="749">
        <f>'GLOBAL INPUTS'!S57</f>
        <v>0</v>
      </c>
      <c r="M10" s="749">
        <f>'GLOBAL INPUTS'!S58</f>
        <v>0</v>
      </c>
      <c r="N10" s="749">
        <f>'GLOBAL INPUTS'!S59</f>
        <v>0</v>
      </c>
      <c r="O10" s="749">
        <f>'GLOBAL INPUTS'!S60</f>
        <v>0</v>
      </c>
      <c r="P10" s="749">
        <f>'GLOBAL INPUTS'!S61</f>
        <v>0</v>
      </c>
      <c r="Q10" s="749">
        <f>'GLOBAL INPUTS'!S62</f>
        <v>0</v>
      </c>
      <c r="R10" s="749">
        <f>'GLOBAL INPUTS'!S63</f>
        <v>0</v>
      </c>
      <c r="S10" s="749">
        <f>'GLOBAL INPUTS'!S64</f>
        <v>0</v>
      </c>
      <c r="T10" s="749">
        <f>'GLOBAL INPUTS'!S65</f>
        <v>0</v>
      </c>
      <c r="U10" s="749">
        <f>'GLOBAL INPUTS'!S66</f>
        <v>0</v>
      </c>
      <c r="V10" s="749">
        <f>'GLOBAL INPUTS'!S67</f>
        <v>0</v>
      </c>
      <c r="W10" s="1"/>
    </row>
    <row r="11" spans="2:25" ht="16.5" thickBot="1" x14ac:dyDescent="0.3">
      <c r="B11" s="17" t="s">
        <v>1071</v>
      </c>
      <c r="D11" s="571" t="s">
        <v>69</v>
      </c>
      <c r="E11" s="13"/>
      <c r="J11" s="587" t="s">
        <v>91</v>
      </c>
      <c r="K11" s="34">
        <f>K10*$D$20</f>
        <v>0</v>
      </c>
      <c r="L11" s="34">
        <f t="shared" ref="L11:V11" si="0">L10*$D$20</f>
        <v>0</v>
      </c>
      <c r="M11" s="34">
        <f t="shared" si="0"/>
        <v>0</v>
      </c>
      <c r="N11" s="34">
        <f t="shared" si="0"/>
        <v>0</v>
      </c>
      <c r="O11" s="34">
        <f t="shared" si="0"/>
        <v>0</v>
      </c>
      <c r="P11" s="34">
        <f t="shared" si="0"/>
        <v>0</v>
      </c>
      <c r="Q11" s="34">
        <f t="shared" si="0"/>
        <v>0</v>
      </c>
      <c r="R11" s="34">
        <f t="shared" si="0"/>
        <v>0</v>
      </c>
      <c r="S11" s="34">
        <f t="shared" si="0"/>
        <v>0</v>
      </c>
      <c r="T11" s="34">
        <f t="shared" si="0"/>
        <v>0</v>
      </c>
      <c r="U11" s="34">
        <f t="shared" si="0"/>
        <v>0</v>
      </c>
      <c r="V11" s="34">
        <f t="shared" si="0"/>
        <v>0</v>
      </c>
      <c r="W11" s="1"/>
    </row>
    <row r="12" spans="2:25" x14ac:dyDescent="0.25">
      <c r="B12" s="591" t="s">
        <v>1045</v>
      </c>
      <c r="C12" s="18"/>
      <c r="D12" s="576">
        <f>'GLOBAL INPUTS'!F60</f>
        <v>0</v>
      </c>
      <c r="E12" s="742" t="s">
        <v>3</v>
      </c>
      <c r="J12" s="750" t="s">
        <v>31</v>
      </c>
      <c r="K12" s="274" t="e">
        <f t="shared" ref="K12:V12" si="1">ROUND(K11/$D$8,0)</f>
        <v>#DIV/0!</v>
      </c>
      <c r="L12" s="267" t="e">
        <f t="shared" si="1"/>
        <v>#DIV/0!</v>
      </c>
      <c r="M12" s="267" t="e">
        <f t="shared" si="1"/>
        <v>#DIV/0!</v>
      </c>
      <c r="N12" s="267" t="e">
        <f t="shared" si="1"/>
        <v>#DIV/0!</v>
      </c>
      <c r="O12" s="267" t="e">
        <f t="shared" si="1"/>
        <v>#DIV/0!</v>
      </c>
      <c r="P12" s="267" t="e">
        <f t="shared" si="1"/>
        <v>#DIV/0!</v>
      </c>
      <c r="Q12" s="267" t="e">
        <f t="shared" si="1"/>
        <v>#DIV/0!</v>
      </c>
      <c r="R12" s="267" t="e">
        <f t="shared" si="1"/>
        <v>#DIV/0!</v>
      </c>
      <c r="S12" s="267" t="e">
        <f t="shared" si="1"/>
        <v>#DIV/0!</v>
      </c>
      <c r="T12" s="267" t="e">
        <f t="shared" si="1"/>
        <v>#DIV/0!</v>
      </c>
      <c r="U12" s="267" t="e">
        <f t="shared" si="1"/>
        <v>#DIV/0!</v>
      </c>
      <c r="V12" s="267" t="e">
        <f t="shared" si="1"/>
        <v>#DIV/0!</v>
      </c>
      <c r="W12" s="1"/>
    </row>
    <row r="13" spans="2:25" ht="15.75" thickBot="1" x14ac:dyDescent="0.3">
      <c r="B13" s="17" t="s">
        <v>1072</v>
      </c>
      <c r="D13" s="576">
        <f>'GLOBAL INPUTS'!F61</f>
        <v>0</v>
      </c>
      <c r="E13" s="742" t="s">
        <v>1041</v>
      </c>
      <c r="F13" s="1681"/>
      <c r="G13" s="1681"/>
      <c r="J13" s="751" t="s">
        <v>57</v>
      </c>
      <c r="K13" s="752" t="e">
        <f t="shared" ref="K13:V13" si="2">ROUND(K12*(1+$D$9/100),0)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753" t="e">
        <f t="shared" si="2"/>
        <v>#DIV/0!</v>
      </c>
      <c r="W13" s="1"/>
    </row>
    <row r="14" spans="2:25" ht="15.75" thickBot="1" x14ac:dyDescent="0.3">
      <c r="B14" s="17" t="s">
        <v>1047</v>
      </c>
      <c r="D14" s="576">
        <f>'GLOBAL INPUTS'!F62</f>
        <v>0</v>
      </c>
      <c r="E14" s="742" t="s">
        <v>3</v>
      </c>
      <c r="F14" s="14"/>
      <c r="G14" s="1706" t="s">
        <v>93</v>
      </c>
      <c r="H14" s="1707"/>
      <c r="I14" s="578"/>
      <c r="J14" s="754" t="s">
        <v>1065</v>
      </c>
      <c r="K14" s="755" t="e">
        <f>K87+N87+Q95+IF(N34=0,N88,N92)</f>
        <v>#N/A</v>
      </c>
      <c r="L14" s="755" t="e">
        <f>K87+N87</f>
        <v>#N/A</v>
      </c>
      <c r="M14" s="756" t="e">
        <f>K87+IF(N37=0,N87,N91)</f>
        <v>#N/A</v>
      </c>
      <c r="N14" s="757" t="e">
        <f>IF(N37=0,N89,N93)+K95+N87</f>
        <v>#DIV/0!</v>
      </c>
      <c r="O14" s="755" t="e">
        <f>N89</f>
        <v>#DIV/0!</v>
      </c>
      <c r="P14" s="756" t="e">
        <f>IF(N37=0,N89,N93)</f>
        <v>#DIV/0!</v>
      </c>
      <c r="Q14" s="757" t="e">
        <f>Q88+N88+K95+IF(N33=0,N87,N92)</f>
        <v>#DIV/0!</v>
      </c>
      <c r="R14" s="755" t="e">
        <f>N88+Q88</f>
        <v>#N/A</v>
      </c>
      <c r="S14" s="756" t="e">
        <f>Q88+IF(N37=0,N88,N92)</f>
        <v>#DIV/0!</v>
      </c>
      <c r="T14" s="757" t="e">
        <f>IF(N38=0,N90,N94)+Q95+N88</f>
        <v>#DIV/0!</v>
      </c>
      <c r="U14" s="755" t="e">
        <f>N90</f>
        <v>#DIV/0!</v>
      </c>
      <c r="V14" s="756" t="e">
        <f>IF(N38=0,N90,N94)</f>
        <v>#DIV/0!</v>
      </c>
      <c r="W14" s="1"/>
      <c r="X14" s="1"/>
      <c r="Y14" s="1"/>
    </row>
    <row r="15" spans="2:25" x14ac:dyDescent="0.25">
      <c r="B15" s="17" t="s">
        <v>1073</v>
      </c>
      <c r="D15" s="576">
        <f>'GLOBAL INPUTS'!F63</f>
        <v>0</v>
      </c>
      <c r="E15" s="742" t="s">
        <v>708</v>
      </c>
      <c r="G15" s="1708" t="s">
        <v>94</v>
      </c>
      <c r="H15" s="1709"/>
      <c r="I15" s="428"/>
      <c r="J15" s="754" t="s">
        <v>1064</v>
      </c>
      <c r="K15" s="322" t="e">
        <f>2*$D$12/($D$7*1.47)</f>
        <v>#DIV/0!</v>
      </c>
      <c r="L15" s="322"/>
      <c r="M15" s="604"/>
      <c r="N15" s="322" t="e">
        <f>2*$D$12/($D$7*1.47)</f>
        <v>#DIV/0!</v>
      </c>
      <c r="O15" s="322"/>
      <c r="P15" s="604"/>
      <c r="Q15" s="322" t="e">
        <f>2*$D$12/($D$7*1.47)</f>
        <v>#DIV/0!</v>
      </c>
      <c r="R15" s="322"/>
      <c r="S15" s="604"/>
      <c r="T15" s="322" t="e">
        <f>2*$D$12/($D$7*1.47)</f>
        <v>#DIV/0!</v>
      </c>
      <c r="U15" s="322"/>
      <c r="V15" s="604"/>
      <c r="W15" s="1"/>
      <c r="X15" s="1"/>
      <c r="Y15" s="1"/>
    </row>
    <row r="16" spans="2:25" ht="15.75" x14ac:dyDescent="0.25">
      <c r="B16" s="17" t="s">
        <v>1050</v>
      </c>
      <c r="D16" s="576">
        <f>'GLOBAL INPUTS'!F64</f>
        <v>0</v>
      </c>
      <c r="E16" s="742" t="s">
        <v>708</v>
      </c>
      <c r="G16" s="758">
        <v>0</v>
      </c>
      <c r="H16" s="759" t="s">
        <v>16</v>
      </c>
      <c r="I16" s="428"/>
      <c r="J16" s="754" t="s">
        <v>1063</v>
      </c>
      <c r="K16" s="760" t="e">
        <f t="shared" ref="K16:V16" si="3">K14+K15</f>
        <v>#N/A</v>
      </c>
      <c r="L16" s="760" t="e">
        <f t="shared" si="3"/>
        <v>#N/A</v>
      </c>
      <c r="M16" s="761" t="e">
        <f t="shared" si="3"/>
        <v>#N/A</v>
      </c>
      <c r="N16" s="762" t="e">
        <f t="shared" si="3"/>
        <v>#DIV/0!</v>
      </c>
      <c r="O16" s="760" t="e">
        <f t="shared" si="3"/>
        <v>#DIV/0!</v>
      </c>
      <c r="P16" s="761" t="e">
        <f t="shared" si="3"/>
        <v>#DIV/0!</v>
      </c>
      <c r="Q16" s="762" t="e">
        <f t="shared" si="3"/>
        <v>#DIV/0!</v>
      </c>
      <c r="R16" s="760" t="e">
        <f t="shared" si="3"/>
        <v>#N/A</v>
      </c>
      <c r="S16" s="761" t="e">
        <f t="shared" si="3"/>
        <v>#DIV/0!</v>
      </c>
      <c r="T16" s="762" t="e">
        <f t="shared" si="3"/>
        <v>#DIV/0!</v>
      </c>
      <c r="U16" s="760" t="e">
        <f t="shared" si="3"/>
        <v>#DIV/0!</v>
      </c>
      <c r="V16" s="761" t="e">
        <f t="shared" si="3"/>
        <v>#DIV/0!</v>
      </c>
      <c r="W16" s="1"/>
      <c r="X16" s="1"/>
      <c r="Y16" s="2"/>
    </row>
    <row r="17" spans="2:25" ht="16.5" thickBot="1" x14ac:dyDescent="0.3">
      <c r="B17" s="17" t="s">
        <v>61</v>
      </c>
      <c r="D17" s="576">
        <f>'GLOBAL INPUTS'!F65</f>
        <v>0</v>
      </c>
      <c r="E17" s="742" t="s">
        <v>1006</v>
      </c>
      <c r="G17" s="758">
        <v>10</v>
      </c>
      <c r="H17" s="759" t="s">
        <v>17</v>
      </c>
      <c r="I17" s="428"/>
      <c r="J17" s="754" t="s">
        <v>1077</v>
      </c>
      <c r="K17" s="203"/>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c r="W17" s="1"/>
      <c r="X17" s="1"/>
      <c r="Y17" s="1"/>
    </row>
    <row r="18" spans="2:25" ht="15.75" thickBot="1" x14ac:dyDescent="0.3">
      <c r="B18" s="17" t="s">
        <v>1074</v>
      </c>
      <c r="D18" s="576">
        <f>'GLOBAL INPUTS'!F66</f>
        <v>0</v>
      </c>
      <c r="E18" s="742"/>
      <c r="G18" s="758">
        <v>20</v>
      </c>
      <c r="H18" s="759" t="s">
        <v>18</v>
      </c>
      <c r="I18" s="428"/>
      <c r="J18" s="763" t="s">
        <v>95</v>
      </c>
      <c r="K18" s="764" t="e">
        <f t="shared" ref="K18:V18" si="4">VLOOKUP(K16,$G$16:$H$21,2,TRUE)</f>
        <v>#N/A</v>
      </c>
      <c r="L18" s="764" t="e">
        <f t="shared" si="4"/>
        <v>#N/A</v>
      </c>
      <c r="M18" s="764" t="e">
        <f t="shared" si="4"/>
        <v>#N/A</v>
      </c>
      <c r="N18" s="764" t="e">
        <f t="shared" si="4"/>
        <v>#DIV/0!</v>
      </c>
      <c r="O18" s="764" t="e">
        <f t="shared" si="4"/>
        <v>#DIV/0!</v>
      </c>
      <c r="P18" s="764" t="e">
        <f t="shared" si="4"/>
        <v>#DIV/0!</v>
      </c>
      <c r="Q18" s="764" t="e">
        <f t="shared" si="4"/>
        <v>#DIV/0!</v>
      </c>
      <c r="R18" s="764" t="e">
        <f t="shared" si="4"/>
        <v>#N/A</v>
      </c>
      <c r="S18" s="764" t="e">
        <f t="shared" si="4"/>
        <v>#DIV/0!</v>
      </c>
      <c r="T18" s="764" t="e">
        <f t="shared" si="4"/>
        <v>#DIV/0!</v>
      </c>
      <c r="U18" s="764" t="e">
        <f t="shared" si="4"/>
        <v>#DIV/0!</v>
      </c>
      <c r="V18" s="764" t="e">
        <f t="shared" si="4"/>
        <v>#DIV/0!</v>
      </c>
      <c r="W18" s="1"/>
      <c r="X18" s="1"/>
      <c r="Y18" s="1"/>
    </row>
    <row r="19" spans="2:25" ht="15.75" thickBot="1" x14ac:dyDescent="0.3">
      <c r="B19" s="1691" t="str">
        <f>'GLOBAL INPUTS'!D67</f>
        <v xml:space="preserve">Coordination arrival type on major road (1=poor; 6=outstanding) </v>
      </c>
      <c r="C19" s="1692"/>
      <c r="D19" s="576">
        <f>'GLOBAL INPUTS'!F67</f>
        <v>0</v>
      </c>
      <c r="E19" s="742"/>
      <c r="G19" s="758">
        <v>35</v>
      </c>
      <c r="H19" s="759" t="s">
        <v>19</v>
      </c>
      <c r="I19" s="14"/>
      <c r="J19" s="61"/>
      <c r="K19" s="14"/>
      <c r="L19" s="14"/>
      <c r="M19" s="14"/>
      <c r="N19" s="14"/>
      <c r="O19" s="417"/>
      <c r="P19" s="418"/>
      <c r="Q19" s="418"/>
      <c r="R19" s="418"/>
      <c r="S19" s="418"/>
      <c r="T19" s="418"/>
      <c r="U19" s="418"/>
      <c r="V19" s="419"/>
      <c r="W19" s="1"/>
      <c r="X19" s="1"/>
      <c r="Y19" s="1"/>
    </row>
    <row r="20" spans="2:25" ht="19.5" thickBot="1" x14ac:dyDescent="0.35">
      <c r="B20" s="19" t="s">
        <v>1051</v>
      </c>
      <c r="C20" s="248"/>
      <c r="D20" s="765">
        <f>'GLOBAL INPUTS'!F68</f>
        <v>0</v>
      </c>
      <c r="E20" s="766"/>
      <c r="G20" s="758">
        <v>55</v>
      </c>
      <c r="H20" s="759" t="s">
        <v>20</v>
      </c>
      <c r="I20" s="14"/>
      <c r="O20" s="636"/>
      <c r="P20" s="616"/>
      <c r="Q20" s="767" t="s">
        <v>40</v>
      </c>
      <c r="R20" s="768"/>
      <c r="S20" s="768"/>
      <c r="T20" s="769"/>
      <c r="U20" s="621" t="e">
        <f>SUMPRODUCT(K13:V13,K16:V16)/SUM(K13:V13)</f>
        <v>#DIV/0!</v>
      </c>
      <c r="V20" s="770" t="e">
        <f>VLOOKUP(U20,$G$16:$H$21,2,TRUE)</f>
        <v>#DIV/0!</v>
      </c>
      <c r="W20" s="1"/>
      <c r="X20" s="1"/>
      <c r="Y20" s="1"/>
    </row>
    <row r="21" spans="2:25" ht="19.5" thickBot="1" x14ac:dyDescent="0.35">
      <c r="G21" s="758">
        <v>80</v>
      </c>
      <c r="H21" s="759" t="s">
        <v>21</v>
      </c>
      <c r="I21" s="14"/>
      <c r="J21" s="771" t="s">
        <v>96</v>
      </c>
      <c r="K21" s="772" t="e">
        <f>SUMPRODUCT(K13:V13,K14:V14)/SUM(K13:V13)</f>
        <v>#DIV/0!</v>
      </c>
      <c r="L21" s="195"/>
      <c r="P21" s="195"/>
      <c r="Q21" s="262" t="s">
        <v>97</v>
      </c>
      <c r="R21" s="263"/>
      <c r="S21" s="263"/>
      <c r="T21" s="263"/>
      <c r="U21" s="264"/>
      <c r="V21" s="773" t="e">
        <f>IF(MAX(K80,Q80,N78,T83)&gt;D13/25,"YES-LOS F", "NO")</f>
        <v>#DIV/0!</v>
      </c>
    </row>
    <row r="22" spans="2:25" ht="19.5" thickBot="1" x14ac:dyDescent="0.35">
      <c r="I22" s="14"/>
      <c r="K22" s="195"/>
      <c r="L22" s="195"/>
      <c r="M22" s="195"/>
      <c r="N22" s="195"/>
      <c r="O22" s="195"/>
      <c r="P22" s="195"/>
      <c r="Q22" s="262" t="s">
        <v>98</v>
      </c>
      <c r="R22" s="263"/>
      <c r="S22" s="263"/>
      <c r="T22" s="263"/>
      <c r="U22" s="264"/>
      <c r="V22" s="773" t="e">
        <f>IF(K106="OK",IF(Q106="OK","NO","YES-LOS-F"))</f>
        <v>#DIV/0!</v>
      </c>
    </row>
    <row r="23" spans="2:25" x14ac:dyDescent="0.25">
      <c r="T23" s="15"/>
      <c r="U23" s="15"/>
    </row>
    <row r="24" spans="2:25" x14ac:dyDescent="0.25">
      <c r="K24" s="18"/>
      <c r="L24" s="18"/>
      <c r="M24" s="18"/>
      <c r="N24" s="18"/>
      <c r="O24" s="18"/>
      <c r="P24" s="18"/>
      <c r="Q24" s="18"/>
      <c r="R24" s="18"/>
      <c r="S24" s="18"/>
      <c r="T24" s="18"/>
      <c r="U24" s="18"/>
      <c r="V24" s="18"/>
    </row>
    <row r="25" spans="2:25" ht="16.5" thickBot="1" x14ac:dyDescent="0.3">
      <c r="T25" s="682"/>
    </row>
    <row r="26" spans="2:25" ht="18.75" x14ac:dyDescent="0.3">
      <c r="J26" s="1681"/>
      <c r="K26" s="1725"/>
      <c r="L26" s="1710" t="s">
        <v>1076</v>
      </c>
      <c r="M26" s="1711"/>
      <c r="N26" s="1711"/>
      <c r="O26" s="1711"/>
      <c r="P26" s="1712"/>
      <c r="U26" s="774"/>
      <c r="V26" s="623"/>
    </row>
    <row r="27" spans="2:25" ht="19.5" thickBot="1" x14ac:dyDescent="0.35">
      <c r="J27" s="1681"/>
      <c r="K27" s="1725"/>
      <c r="L27" s="650" t="s">
        <v>46</v>
      </c>
      <c r="M27" s="651"/>
      <c r="N27" s="651"/>
      <c r="O27" s="651"/>
      <c r="P27" s="652">
        <f>ROUND((0.95*D17)/5,0)*5</f>
        <v>0</v>
      </c>
      <c r="T27" s="720"/>
    </row>
    <row r="28" spans="2:25" ht="16.5" thickBot="1" x14ac:dyDescent="0.3">
      <c r="J28" s="1726" t="s">
        <v>955</v>
      </c>
      <c r="T28" s="682"/>
    </row>
    <row r="29" spans="2:25" ht="18.75" x14ac:dyDescent="0.3">
      <c r="E29" s="1681" t="s">
        <v>1373</v>
      </c>
      <c r="F29" s="1681"/>
      <c r="G29" s="1681"/>
      <c r="H29" s="1681"/>
      <c r="I29" s="1681"/>
      <c r="J29" s="1727"/>
      <c r="K29" s="1688" t="s">
        <v>12</v>
      </c>
      <c r="L29" s="1689"/>
      <c r="M29" s="15"/>
      <c r="N29" s="1713" t="s">
        <v>949</v>
      </c>
      <c r="O29" s="1714"/>
      <c r="P29" s="15"/>
      <c r="Q29" s="1688" t="s">
        <v>14</v>
      </c>
      <c r="R29" s="1689"/>
      <c r="V29" s="195"/>
    </row>
    <row r="30" spans="2:25" ht="16.5" thickBot="1" x14ac:dyDescent="0.3">
      <c r="E30" s="15" t="s">
        <v>1233</v>
      </c>
      <c r="F30" s="662"/>
      <c r="J30" s="1728"/>
      <c r="K30" s="1715">
        <f>D6</f>
        <v>0</v>
      </c>
      <c r="L30" s="1716"/>
      <c r="N30" s="1717" t="str">
        <f>O9</f>
        <v>NB</v>
      </c>
      <c r="O30" s="1718"/>
      <c r="P30" s="774"/>
      <c r="Q30" s="1715" t="str">
        <f>R9</f>
        <v>EB</v>
      </c>
      <c r="R30" s="1719"/>
    </row>
    <row r="31" spans="2:25" ht="15.75" x14ac:dyDescent="0.25">
      <c r="E31" s="1"/>
      <c r="J31" s="483" t="s">
        <v>246</v>
      </c>
      <c r="K31" s="845"/>
      <c r="L31" s="777"/>
      <c r="M31" s="658"/>
      <c r="N31" s="10"/>
      <c r="O31" s="777"/>
      <c r="P31" s="658"/>
      <c r="Q31" s="778"/>
      <c r="R31" s="483"/>
    </row>
    <row r="32" spans="2:25" ht="16.5" thickBot="1" x14ac:dyDescent="0.3">
      <c r="J32" s="13" t="s">
        <v>247</v>
      </c>
      <c r="K32" s="779"/>
      <c r="L32" s="276"/>
      <c r="M32" s="18"/>
      <c r="N32" s="9"/>
      <c r="O32" s="276"/>
      <c r="P32" s="18"/>
      <c r="Q32" s="847"/>
      <c r="R32" s="780" t="str">
        <f>CONCATENATE(Q30,"T")</f>
        <v>EBT</v>
      </c>
    </row>
    <row r="33" spans="2:19" ht="15.75" x14ac:dyDescent="0.25">
      <c r="J33" s="13" t="s">
        <v>848</v>
      </c>
      <c r="K33" s="778"/>
      <c r="L33" s="276"/>
      <c r="M33" s="18"/>
      <c r="N33" s="9"/>
      <c r="O33" s="276"/>
      <c r="P33" s="18"/>
      <c r="Q33" s="778"/>
      <c r="R33" s="780"/>
    </row>
    <row r="34" spans="2:19" ht="16.5" thickBot="1" x14ac:dyDescent="0.3">
      <c r="J34" s="13" t="s">
        <v>849</v>
      </c>
      <c r="K34" s="779"/>
      <c r="L34" s="276"/>
      <c r="M34" s="18"/>
      <c r="N34" s="9"/>
      <c r="O34" s="276"/>
      <c r="P34" s="18"/>
      <c r="Q34" s="779"/>
      <c r="R34" s="780"/>
    </row>
    <row r="35" spans="2:19" ht="15.75" x14ac:dyDescent="0.25">
      <c r="J35" s="13" t="s">
        <v>987</v>
      </c>
      <c r="K35" s="781"/>
      <c r="L35" s="276"/>
      <c r="M35" s="18"/>
      <c r="N35" s="9"/>
      <c r="O35" s="276"/>
      <c r="P35" s="18"/>
      <c r="Q35" s="782"/>
      <c r="R35" s="780"/>
    </row>
    <row r="36" spans="2:19" ht="16.5" thickBot="1" x14ac:dyDescent="0.3">
      <c r="J36" s="13" t="s">
        <v>988</v>
      </c>
      <c r="K36" s="781"/>
      <c r="L36" s="276"/>
      <c r="M36" s="18"/>
      <c r="N36" s="9"/>
      <c r="O36" s="276"/>
      <c r="P36" s="18"/>
      <c r="Q36" s="782"/>
      <c r="R36" s="780"/>
    </row>
    <row r="37" spans="2:19" ht="15.75" x14ac:dyDescent="0.25">
      <c r="J37" s="13" t="s">
        <v>851</v>
      </c>
      <c r="K37" s="783"/>
      <c r="L37" s="276"/>
      <c r="M37" s="18"/>
      <c r="N37" s="9"/>
      <c r="O37" s="276"/>
      <c r="P37" s="18"/>
      <c r="Q37" s="778"/>
      <c r="R37" s="780"/>
    </row>
    <row r="38" spans="2:19" ht="16.5" thickBot="1" x14ac:dyDescent="0.3">
      <c r="J38" s="13" t="s">
        <v>852</v>
      </c>
      <c r="K38" s="784"/>
      <c r="L38" s="276"/>
      <c r="M38" s="18"/>
      <c r="N38" s="11"/>
      <c r="O38" s="276"/>
      <c r="P38" s="18"/>
      <c r="Q38" s="779"/>
      <c r="R38" s="780"/>
    </row>
    <row r="39" spans="2:19" ht="16.5" thickBot="1" x14ac:dyDescent="0.3">
      <c r="J39" s="28" t="s">
        <v>850</v>
      </c>
      <c r="K39" s="846"/>
      <c r="L39" s="785"/>
      <c r="M39" s="663"/>
      <c r="N39" s="786"/>
      <c r="O39" s="787"/>
      <c r="P39" s="663"/>
      <c r="Q39" s="11"/>
      <c r="R39" s="788">
        <f>IF(L39="NBL","SBL",IF(L39="SBL","NBL",IF(L39="EBL","WBL",IF(L39="WBL","EBL",0))))</f>
        <v>0</v>
      </c>
    </row>
    <row r="40" spans="2:19" x14ac:dyDescent="0.25">
      <c r="J40" s="560" t="s">
        <v>101</v>
      </c>
      <c r="K40" s="20" t="e">
        <f>SUM(K13:M13)*K50</f>
        <v>#DIV/0!</v>
      </c>
      <c r="L40">
        <f>L31</f>
        <v>0</v>
      </c>
      <c r="N40" s="20" t="e">
        <f>K13+L13+N13+IF(N33=0,M13+Q13,0)</f>
        <v>#DIV/0!</v>
      </c>
      <c r="O40" s="15">
        <f>O31</f>
        <v>0</v>
      </c>
      <c r="Q40" s="789">
        <v>0</v>
      </c>
      <c r="R40" s="570"/>
      <c r="S40" s="15"/>
    </row>
    <row r="41" spans="2:19" x14ac:dyDescent="0.25">
      <c r="J41" s="17" t="s">
        <v>102</v>
      </c>
      <c r="K41" s="659"/>
      <c r="N41" s="20" t="e">
        <f>R13+Q13+T13+IF(N34=0,S13+K13,0)</f>
        <v>#DIV/0!</v>
      </c>
      <c r="O41" s="15">
        <f>O32</f>
        <v>0</v>
      </c>
      <c r="Q41" s="20" t="e">
        <f>SUM(Q13:S13)*Q50</f>
        <v>#DIV/0!</v>
      </c>
      <c r="R41" s="570"/>
    </row>
    <row r="42" spans="2:19" x14ac:dyDescent="0.25">
      <c r="B42" s="720" t="s">
        <v>103</v>
      </c>
      <c r="J42" s="17" t="s">
        <v>104</v>
      </c>
      <c r="K42" s="659">
        <v>0</v>
      </c>
      <c r="N42" s="20" t="e">
        <f>ROUND((O13+IF(N37=0,P13+N13,0))*IF($D$11="Y",VLOOKUP(D35,B54:C56,2,TRUE),1),0)</f>
        <v>#DIV/0!</v>
      </c>
      <c r="O42" s="15" t="str">
        <f>O55</f>
        <v>NBT</v>
      </c>
      <c r="Q42" s="659">
        <v>0</v>
      </c>
      <c r="R42" s="570"/>
    </row>
    <row r="43" spans="2:19" ht="15.75" thickBot="1" x14ac:dyDescent="0.3">
      <c r="J43" s="17" t="s">
        <v>105</v>
      </c>
      <c r="K43" s="659"/>
      <c r="N43" s="20" t="e">
        <f>(U13+IF(N38=0,V13+T13,0))*IF(D11="Y",VLOOKUP(D36,B54:C56,2,TRUE),1)</f>
        <v>#DIV/0!</v>
      </c>
      <c r="O43" s="15" t="str">
        <f>O56</f>
        <v>SBT</v>
      </c>
      <c r="Q43" s="659"/>
      <c r="R43" s="570"/>
    </row>
    <row r="44" spans="2:19" ht="15.75" thickBot="1" x14ac:dyDescent="0.3">
      <c r="B44" s="683" t="s">
        <v>1215</v>
      </c>
      <c r="C44" s="526" t="s">
        <v>1217</v>
      </c>
      <c r="D44" s="464" t="s">
        <v>106</v>
      </c>
      <c r="J44" s="17" t="s">
        <v>911</v>
      </c>
      <c r="K44" s="659"/>
      <c r="N44" s="20">
        <f>ROUND(IF(N34=0,0,K13+S13)*N51,0)</f>
        <v>0</v>
      </c>
      <c r="O44" s="15">
        <f>O34</f>
        <v>0</v>
      </c>
      <c r="Q44" s="659"/>
      <c r="R44" s="570"/>
    </row>
    <row r="45" spans="2:19" x14ac:dyDescent="0.25">
      <c r="B45" s="579" t="s">
        <v>69</v>
      </c>
      <c r="C45" s="598">
        <v>1</v>
      </c>
      <c r="D45" s="790"/>
      <c r="J45" s="17" t="s">
        <v>912</v>
      </c>
      <c r="K45" s="659"/>
      <c r="N45" s="20">
        <f>ROUND(IF(N33=0,0,M13+Q13)*N51,0)</f>
        <v>0</v>
      </c>
      <c r="O45" s="15">
        <f>O33</f>
        <v>0</v>
      </c>
      <c r="Q45" s="659"/>
      <c r="R45" s="570"/>
    </row>
    <row r="46" spans="2:19" x14ac:dyDescent="0.25">
      <c r="B46" s="579" t="s">
        <v>9</v>
      </c>
      <c r="C46" s="598">
        <v>1.2</v>
      </c>
      <c r="D46" s="13">
        <v>199</v>
      </c>
      <c r="J46" s="17" t="s">
        <v>853</v>
      </c>
      <c r="K46" s="659">
        <v>0</v>
      </c>
      <c r="N46" s="20">
        <f>ROUND(IF(N37=0,0,P13+N13)*N51,0)</f>
        <v>0</v>
      </c>
      <c r="O46" s="15">
        <f>O37</f>
        <v>0</v>
      </c>
      <c r="Q46" s="659">
        <v>0</v>
      </c>
      <c r="R46" s="570"/>
    </row>
    <row r="47" spans="2:19" x14ac:dyDescent="0.25">
      <c r="B47" s="579" t="s">
        <v>68</v>
      </c>
      <c r="C47" s="598">
        <v>1.3</v>
      </c>
      <c r="D47" s="13">
        <v>399</v>
      </c>
      <c r="J47" s="17" t="s">
        <v>854</v>
      </c>
      <c r="K47" s="659"/>
      <c r="N47" s="20">
        <f>ROUND(IF(N38=0,0,V13+T13)*N51,0)</f>
        <v>0</v>
      </c>
      <c r="O47" s="15">
        <f>O38</f>
        <v>0</v>
      </c>
      <c r="Q47" s="659"/>
      <c r="R47" s="570"/>
    </row>
    <row r="48" spans="2:19" ht="15.75" thickBot="1" x14ac:dyDescent="0.3">
      <c r="B48" s="579" t="s">
        <v>70</v>
      </c>
      <c r="C48" s="598">
        <v>1.5</v>
      </c>
      <c r="D48" s="791">
        <v>799</v>
      </c>
      <c r="J48" s="19" t="s">
        <v>108</v>
      </c>
      <c r="K48" s="671" t="e">
        <f>ROUND((N13+Q13)*K52,0)</f>
        <v>#DIV/0!</v>
      </c>
      <c r="L48" s="248">
        <f>L39</f>
        <v>0</v>
      </c>
      <c r="M48" s="248"/>
      <c r="N48" s="792"/>
      <c r="O48" s="248"/>
      <c r="P48" s="248"/>
      <c r="Q48" s="671" t="e">
        <f>ROUND((T13+K13)*Q52,0)</f>
        <v>#DIV/0!</v>
      </c>
      <c r="R48" s="666"/>
    </row>
    <row r="49" spans="2:30" ht="16.5" thickBot="1" x14ac:dyDescent="0.3">
      <c r="B49" s="545" t="s">
        <v>71</v>
      </c>
      <c r="C49" s="710">
        <v>2.1</v>
      </c>
      <c r="D49" s="793" t="s">
        <v>109</v>
      </c>
      <c r="J49" s="673" t="s">
        <v>1078</v>
      </c>
      <c r="K49" s="794" t="e">
        <f>ROUND(K40/K31+K48/K39,0)</f>
        <v>#DIV/0!</v>
      </c>
      <c r="L49" s="795"/>
      <c r="M49" s="796"/>
      <c r="N49" s="797" t="e">
        <f>ROUND(MAX(N40/N31,N41/N31,IF(N37=0,0,MAX(N44/N37,N45/N37)))+MAX(N42/N35,N43/N35,IF(N39=0,0,MAX(N46/N39,N47/N39))),0)</f>
        <v>#DIV/0!</v>
      </c>
      <c r="O49" s="795"/>
      <c r="P49" s="796"/>
      <c r="Q49" s="797" t="e">
        <f>ROUND(Q41/Q32+Q48/Q39,0)</f>
        <v>#DIV/0!</v>
      </c>
      <c r="R49" s="798"/>
    </row>
    <row r="50" spans="2:30" x14ac:dyDescent="0.25">
      <c r="J50" s="560" t="s">
        <v>1079</v>
      </c>
      <c r="K50" s="799">
        <v>1</v>
      </c>
      <c r="L50" s="713"/>
      <c r="M50" s="713"/>
      <c r="N50" s="713">
        <f>IF($D$10="N",1,VLOOKUP(D10,B46:C49,2,TRUE))</f>
        <v>1</v>
      </c>
      <c r="O50" s="713"/>
      <c r="P50" s="713"/>
      <c r="Q50" s="799">
        <v>1</v>
      </c>
      <c r="R50" s="561"/>
    </row>
    <row r="51" spans="2:30" ht="15.75" thickBot="1" x14ac:dyDescent="0.3">
      <c r="J51" s="17" t="s">
        <v>1080</v>
      </c>
      <c r="K51" s="725">
        <v>1</v>
      </c>
      <c r="L51" s="308"/>
      <c r="M51" s="308"/>
      <c r="N51" s="308">
        <f>IF($D$10&lt;&gt; "N",VLOOKUP(D10,B46:C49,2,TRUE),1)*1.18</f>
        <v>1.18</v>
      </c>
      <c r="O51" s="308"/>
      <c r="P51" s="308"/>
      <c r="Q51" s="725">
        <v>1</v>
      </c>
      <c r="R51" s="570"/>
      <c r="V51" s="21"/>
      <c r="W51" s="22"/>
      <c r="X51" s="23"/>
      <c r="Y51" s="23"/>
      <c r="Z51" s="22"/>
      <c r="AA51" s="23"/>
      <c r="AB51" s="23"/>
      <c r="AC51" s="22"/>
      <c r="AD51" s="23"/>
    </row>
    <row r="52" spans="2:30" ht="15.75" thickBot="1" x14ac:dyDescent="0.3">
      <c r="B52" s="683" t="s">
        <v>1214</v>
      </c>
      <c r="C52" s="526" t="s">
        <v>1218</v>
      </c>
      <c r="J52" s="19" t="s">
        <v>1081</v>
      </c>
      <c r="K52" s="718">
        <f>1/IF($D$14&lt;35,0.8,IF($D$14&lt;80,0.85,0.95))*K50</f>
        <v>1.25</v>
      </c>
      <c r="L52" s="718"/>
      <c r="M52" s="718"/>
      <c r="N52" s="800"/>
      <c r="O52" s="718"/>
      <c r="P52" s="718"/>
      <c r="Q52" s="718">
        <v>1.18</v>
      </c>
      <c r="R52" s="666"/>
      <c r="V52" s="21"/>
      <c r="W52" s="22"/>
      <c r="X52" s="23"/>
      <c r="Y52" s="23"/>
      <c r="Z52" s="22"/>
      <c r="AA52" s="23"/>
      <c r="AB52" s="23"/>
      <c r="AC52" s="22"/>
      <c r="AD52" s="23"/>
    </row>
    <row r="53" spans="2:30" ht="15.75" thickBot="1" x14ac:dyDescent="0.3">
      <c r="B53" s="579" t="s">
        <v>69</v>
      </c>
      <c r="C53" s="598">
        <v>1</v>
      </c>
      <c r="J53" s="17" t="s">
        <v>820</v>
      </c>
      <c r="K53" s="309" t="e">
        <f>K40/(K31*$P$27)*IF(K31=2,1/0.952,IF(K31=3,1/0.908,1))</f>
        <v>#DIV/0!</v>
      </c>
      <c r="L53" s="18">
        <f>L31</f>
        <v>0</v>
      </c>
      <c r="M53" s="18"/>
      <c r="N53" s="309" t="e">
        <f>N40/(N31*$P$27)*IF(N31=2,1/0.952,IF(N31=3,1/0.908,1))</f>
        <v>#DIV/0!</v>
      </c>
      <c r="O53" s="21">
        <f>O31</f>
        <v>0</v>
      </c>
      <c r="P53" s="18"/>
      <c r="Q53" s="659">
        <v>0</v>
      </c>
      <c r="R53" s="570"/>
      <c r="W53" s="18"/>
      <c r="X53" s="18"/>
      <c r="Y53" s="18"/>
      <c r="Z53" s="18"/>
      <c r="AA53" s="18"/>
      <c r="AB53" s="18"/>
      <c r="AC53" s="18"/>
      <c r="AD53" s="18"/>
    </row>
    <row r="54" spans="2:30" x14ac:dyDescent="0.25">
      <c r="B54" s="579">
        <v>1</v>
      </c>
      <c r="C54" s="598">
        <v>1.2</v>
      </c>
      <c r="J54" s="17" t="s">
        <v>821</v>
      </c>
      <c r="K54" s="659"/>
      <c r="L54" s="18"/>
      <c r="M54" s="18"/>
      <c r="N54" s="309" t="e">
        <f>N41/(N32*P27)*IF(N32=2,1/0.952,IF(N32=3,1/0.908,1))</f>
        <v>#DIV/0!</v>
      </c>
      <c r="O54" s="21">
        <f>O32</f>
        <v>0</v>
      </c>
      <c r="P54" s="18"/>
      <c r="Q54" s="712" t="e">
        <f>Q41/(Q32*P27)*IF(Q32=2,1/0.952,IF(Q32=3,1/0.908,1))</f>
        <v>#DIV/0!</v>
      </c>
      <c r="R54" s="570" t="str">
        <f>R32</f>
        <v>EBT</v>
      </c>
      <c r="W54" s="18"/>
      <c r="X54" s="18"/>
      <c r="Y54" s="18"/>
      <c r="Z54" s="18"/>
      <c r="AA54" s="18"/>
      <c r="AB54" s="18"/>
      <c r="AC54" s="18"/>
      <c r="AD54" s="18"/>
    </row>
    <row r="55" spans="2:30" ht="15.75" x14ac:dyDescent="0.25">
      <c r="B55" s="579">
        <v>2</v>
      </c>
      <c r="C55" s="598">
        <v>1.1000000000000001</v>
      </c>
      <c r="J55" s="17" t="s">
        <v>1082</v>
      </c>
      <c r="K55" s="659">
        <v>0</v>
      </c>
      <c r="L55" s="18"/>
      <c r="M55" s="18"/>
      <c r="N55" s="309" t="e">
        <f>N42/(N35*P27)*IF(N35=2,1/0.952,IF(N35=3,1/0.908,1))</f>
        <v>#DIV/0!</v>
      </c>
      <c r="O55" s="21" t="str">
        <f>CONCATENATE(O9,"T")</f>
        <v>NBT</v>
      </c>
      <c r="P55" s="18"/>
      <c r="Q55" s="715">
        <v>0</v>
      </c>
      <c r="R55" s="570"/>
      <c r="V55" s="802"/>
      <c r="W55" s="24"/>
      <c r="X55" s="24"/>
      <c r="Y55" s="24"/>
      <c r="Z55" s="24"/>
      <c r="AA55" s="24"/>
      <c r="AB55" s="24"/>
      <c r="AC55" s="24"/>
      <c r="AD55" s="24"/>
    </row>
    <row r="56" spans="2:30" ht="16.5" thickBot="1" x14ac:dyDescent="0.3">
      <c r="B56" s="545">
        <v>3</v>
      </c>
      <c r="C56" s="710">
        <v>1.05</v>
      </c>
      <c r="J56" s="17" t="s">
        <v>1083</v>
      </c>
      <c r="K56" s="659"/>
      <c r="L56" s="18"/>
      <c r="M56" s="18"/>
      <c r="N56" s="309" t="e">
        <f>N43/(N36*P27)*IF(N36=2,1/0.952,IF(N36=3,1/0.908,1))</f>
        <v>#DIV/0!</v>
      </c>
      <c r="O56" s="21" t="str">
        <f>CONCATENATE(U9,"T")</f>
        <v>SBT</v>
      </c>
      <c r="P56" s="18"/>
      <c r="Q56" s="715"/>
      <c r="R56" s="570"/>
      <c r="V56" s="802"/>
      <c r="W56" s="24"/>
      <c r="X56" s="18"/>
      <c r="Y56" s="18"/>
      <c r="Z56" s="24"/>
      <c r="AA56" s="18"/>
      <c r="AB56" s="18"/>
      <c r="AC56" s="24"/>
      <c r="AD56" s="18"/>
    </row>
    <row r="57" spans="2:30" ht="15.75" x14ac:dyDescent="0.25">
      <c r="J57" s="17" t="s">
        <v>1084</v>
      </c>
      <c r="K57" s="659"/>
      <c r="L57" s="18"/>
      <c r="M57" s="18"/>
      <c r="N57" s="309">
        <f>IF(N33=0,0,N45/(N33*P27)*IF(N33=2,1/0.885,IF(N33=3,1/0.8,1)))</f>
        <v>0</v>
      </c>
      <c r="O57" s="21">
        <f>O33</f>
        <v>0</v>
      </c>
      <c r="P57" s="18"/>
      <c r="Q57" s="715"/>
      <c r="R57" s="570"/>
      <c r="T57" s="682"/>
      <c r="V57" s="802"/>
      <c r="W57" s="18"/>
      <c r="X57" s="18"/>
      <c r="Y57" s="18"/>
      <c r="Z57" s="24"/>
      <c r="AA57" s="18"/>
      <c r="AB57" s="18"/>
      <c r="AC57" s="18"/>
      <c r="AD57" s="18"/>
    </row>
    <row r="58" spans="2:30" ht="15.75" x14ac:dyDescent="0.25">
      <c r="J58" s="17" t="s">
        <v>1085</v>
      </c>
      <c r="K58" s="659"/>
      <c r="L58" s="18"/>
      <c r="M58" s="18"/>
      <c r="N58" s="309">
        <f>IF(N34=0,0,N44/(N34*P27)*IF(N34=2,1/0.885,IF(N34=3,1/0.8,1)))</f>
        <v>0</v>
      </c>
      <c r="O58" s="21">
        <f>O34</f>
        <v>0</v>
      </c>
      <c r="P58" s="18"/>
      <c r="Q58" s="715"/>
      <c r="R58" s="570"/>
      <c r="V58" s="802"/>
      <c r="W58" s="18"/>
      <c r="X58" s="18"/>
      <c r="Y58" s="18"/>
      <c r="Z58" s="24"/>
      <c r="AA58" s="18"/>
      <c r="AB58" s="18"/>
      <c r="AC58" s="18"/>
      <c r="AD58" s="18"/>
    </row>
    <row r="59" spans="2:30" ht="15.75" x14ac:dyDescent="0.25">
      <c r="J59" s="17" t="s">
        <v>826</v>
      </c>
      <c r="K59" s="659">
        <v>0</v>
      </c>
      <c r="L59" s="18"/>
      <c r="M59" s="18"/>
      <c r="N59" s="309">
        <f>IF(N37=0,0,N46/(N37*P27))*IF(N37=2,1/0.885,IF(N37=3,1/0.8,1))</f>
        <v>0</v>
      </c>
      <c r="O59" s="21">
        <f>O37</f>
        <v>0</v>
      </c>
      <c r="P59" s="18"/>
      <c r="Q59" s="715">
        <v>0</v>
      </c>
      <c r="R59" s="570"/>
      <c r="V59" s="802"/>
      <c r="W59" s="24"/>
      <c r="X59" s="18"/>
      <c r="Y59" s="18"/>
      <c r="Z59" s="24"/>
      <c r="AA59" s="18"/>
      <c r="AB59" s="18"/>
      <c r="AC59" s="24"/>
      <c r="AD59" s="18"/>
    </row>
    <row r="60" spans="2:30" x14ac:dyDescent="0.25">
      <c r="J60" s="17" t="s">
        <v>1086</v>
      </c>
      <c r="K60" s="659"/>
      <c r="L60" s="18"/>
      <c r="M60" s="18"/>
      <c r="N60" s="309">
        <f>IF(N38=0,0,N47/(N38*P27))*IF(N38=2,1/0.885,IF(N38=3,1/0.8,1))</f>
        <v>0</v>
      </c>
      <c r="O60" s="21">
        <f>O38</f>
        <v>0</v>
      </c>
      <c r="P60" s="18"/>
      <c r="Q60" s="715"/>
      <c r="R60" s="570"/>
      <c r="V60" s="803"/>
      <c r="W60" s="25"/>
      <c r="X60" s="25"/>
      <c r="Y60" s="25"/>
      <c r="Z60" s="25"/>
      <c r="AA60" s="25"/>
      <c r="AB60" s="25"/>
      <c r="AC60" s="25"/>
      <c r="AD60" s="25"/>
    </row>
    <row r="61" spans="2:30" ht="15.75" thickBot="1" x14ac:dyDescent="0.3">
      <c r="J61" s="19" t="s">
        <v>1087</v>
      </c>
      <c r="K61" s="804" t="e">
        <f>K48/(K39*$P$27)*IF(K39=2,1/0.885,IF(K39=3,1/0.8,1))</f>
        <v>#DIV/0!</v>
      </c>
      <c r="L61" s="663">
        <f>L31</f>
        <v>0</v>
      </c>
      <c r="M61" s="663"/>
      <c r="N61" s="805"/>
      <c r="O61" s="663"/>
      <c r="P61" s="663"/>
      <c r="Q61" s="717" t="e">
        <f>Q48/(Q39*P27)*IF(Q39=2,1/0.885,IF(Q39=3,1/0.8,1))</f>
        <v>#DIV/0!</v>
      </c>
      <c r="R61" s="666">
        <f>R39</f>
        <v>0</v>
      </c>
      <c r="V61" s="803"/>
      <c r="W61" s="26"/>
      <c r="X61" s="26"/>
      <c r="Y61" s="26"/>
      <c r="Z61" s="25"/>
      <c r="AA61" s="26"/>
      <c r="AB61" s="26"/>
      <c r="AC61" s="26"/>
      <c r="AD61" s="26"/>
    </row>
    <row r="62" spans="2:30" ht="15.75" thickBot="1" x14ac:dyDescent="0.3">
      <c r="J62" s="806" t="s">
        <v>904</v>
      </c>
      <c r="K62" s="807" t="e">
        <f>IF(K53+K61&gt;0.85,"OVERCAP","OK")</f>
        <v>#DIV/0!</v>
      </c>
      <c r="L62" s="808"/>
      <c r="M62" s="808"/>
      <c r="N62" s="807" t="e">
        <f>IF(MAX(N53,N54,N58,N57)+MAX(N55,N56,N59,N60)&gt;0.85,"OVERCAP","OK")</f>
        <v>#DIV/0!</v>
      </c>
      <c r="O62" s="808"/>
      <c r="P62" s="808"/>
      <c r="Q62" s="807" t="e">
        <f>IF(Q54+Q61&gt;0.85,"OVERCAP","OK")</f>
        <v>#DIV/0!</v>
      </c>
      <c r="R62" s="809"/>
      <c r="T62" s="275"/>
      <c r="V62" s="803"/>
      <c r="W62" s="26"/>
      <c r="X62" s="26"/>
      <c r="Y62" s="26"/>
      <c r="Z62" s="25"/>
      <c r="AA62" s="26"/>
      <c r="AB62" s="26"/>
      <c r="AC62" s="26"/>
      <c r="AD62" s="26"/>
    </row>
    <row r="63" spans="2:30" ht="19.5" thickBot="1" x14ac:dyDescent="0.35">
      <c r="J63" s="1720" t="s">
        <v>34</v>
      </c>
      <c r="K63" s="1721"/>
      <c r="L63" s="1721"/>
      <c r="M63" s="1721"/>
      <c r="N63" s="1721"/>
      <c r="O63" s="1721"/>
      <c r="P63" s="1721"/>
      <c r="Q63" s="1721"/>
      <c r="R63" s="1722"/>
      <c r="T63" s="275"/>
      <c r="V63" s="803"/>
      <c r="W63" s="26"/>
      <c r="X63" s="26"/>
      <c r="Y63" s="26"/>
      <c r="Z63" s="25"/>
      <c r="AA63" s="26"/>
      <c r="AB63" s="26"/>
      <c r="AC63" s="26"/>
      <c r="AD63" s="26"/>
    </row>
    <row r="64" spans="2:30" ht="15.75" x14ac:dyDescent="0.25">
      <c r="J64" s="591" t="s">
        <v>110</v>
      </c>
      <c r="K64" s="810" t="e">
        <f>K53+K61</f>
        <v>#DIV/0!</v>
      </c>
      <c r="L64" s="810"/>
      <c r="M64" s="810"/>
      <c r="N64" s="810" t="e">
        <f>MAX(N53,N54,N57,N58)+MAX(N55,N56,N59,N60)</f>
        <v>#DIV/0!</v>
      </c>
      <c r="O64" s="810"/>
      <c r="P64" s="810"/>
      <c r="Q64" s="810" t="e">
        <f>Q54+Q61</f>
        <v>#DIV/0!</v>
      </c>
      <c r="R64" s="811"/>
      <c r="T64" s="275"/>
      <c r="V64" s="803"/>
      <c r="W64" s="26"/>
      <c r="X64" s="26"/>
      <c r="Y64" s="26"/>
      <c r="Z64" s="25"/>
      <c r="AA64" s="26"/>
      <c r="AB64" s="26"/>
      <c r="AC64" s="26"/>
      <c r="AD64" s="26"/>
    </row>
    <row r="65" spans="5:30" ht="15.75" thickBot="1" x14ac:dyDescent="0.3">
      <c r="J65" s="17" t="s">
        <v>35</v>
      </c>
      <c r="K65" s="18" t="e">
        <f>ROUND(IF(K64&gt;0.85-8.5/$D$16,$D$16,MAX($D$15,8.5/(0.85-K64))),0)</f>
        <v>#DIV/0!</v>
      </c>
      <c r="L65" s="18"/>
      <c r="M65" s="18"/>
      <c r="N65" s="20" t="e">
        <f>IF(N64&gt;0.85-8.5/$D$16,$D$16,MAX($D$15,8.5/(0.85-N64)))</f>
        <v>#DIV/0!</v>
      </c>
      <c r="O65" s="18"/>
      <c r="P65" s="18"/>
      <c r="Q65" s="20" t="e">
        <f>IF(Q64&gt;0.85-8.5/$D$16,$D$16,MAX($D$15,8.5/(0.85-Q64)))</f>
        <v>#DIV/0!</v>
      </c>
      <c r="R65" s="578"/>
      <c r="V65" s="803"/>
      <c r="W65" s="25"/>
      <c r="X65" s="25"/>
      <c r="Y65" s="25"/>
      <c r="Z65" s="25"/>
      <c r="AA65" s="25"/>
      <c r="AB65" s="25"/>
      <c r="AC65" s="25"/>
      <c r="AD65" s="25"/>
    </row>
    <row r="66" spans="5:30" ht="19.5" thickBot="1" x14ac:dyDescent="0.35">
      <c r="J66" s="812" t="s">
        <v>113</v>
      </c>
      <c r="K66" s="6"/>
      <c r="L66" s="690"/>
      <c r="M66" s="690"/>
      <c r="N66" s="6"/>
      <c r="O66" s="690"/>
      <c r="P66" s="690"/>
      <c r="Q66" s="6"/>
      <c r="R66" s="526"/>
      <c r="S66" s="18"/>
      <c r="T66" s="399"/>
    </row>
    <row r="67" spans="5:30" ht="15.75" x14ac:dyDescent="0.25">
      <c r="F67" s="813" t="s">
        <v>114</v>
      </c>
      <c r="G67" s="814"/>
      <c r="J67" s="815" t="s">
        <v>115</v>
      </c>
      <c r="K67" s="10"/>
      <c r="L67" s="848"/>
      <c r="M67" s="848"/>
      <c r="N67" s="10"/>
      <c r="O67" s="848"/>
      <c r="P67" s="848"/>
      <c r="Q67" s="10"/>
      <c r="R67" s="561"/>
      <c r="S67" s="18"/>
      <c r="T67" s="399"/>
    </row>
    <row r="68" spans="5:30" ht="16.5" thickBot="1" x14ac:dyDescent="0.3">
      <c r="F68" s="816" t="s">
        <v>116</v>
      </c>
      <c r="G68" s="817"/>
      <c r="J68" s="818" t="s">
        <v>117</v>
      </c>
      <c r="K68" s="881">
        <f>K66-K67-10</f>
        <v>-10</v>
      </c>
      <c r="L68" s="18"/>
      <c r="M68" s="18"/>
      <c r="N68" s="819"/>
      <c r="O68" s="18"/>
      <c r="P68" s="18"/>
      <c r="Q68" s="881">
        <f>Q66-Q67-10</f>
        <v>-10</v>
      </c>
      <c r="R68" s="570"/>
      <c r="S68" s="24"/>
      <c r="T68" s="399"/>
    </row>
    <row r="69" spans="5:30" ht="16.5" thickBot="1" x14ac:dyDescent="0.3">
      <c r="F69" s="820" t="s">
        <v>118</v>
      </c>
      <c r="G69" s="821"/>
      <c r="J69" s="822" t="s">
        <v>119</v>
      </c>
      <c r="K69" s="805">
        <v>0</v>
      </c>
      <c r="L69" s="663"/>
      <c r="M69" s="663"/>
      <c r="N69" s="881">
        <f>N66-N67-10</f>
        <v>-10</v>
      </c>
      <c r="O69" s="663"/>
      <c r="P69" s="663"/>
      <c r="Q69" s="805">
        <v>0</v>
      </c>
      <c r="R69" s="666"/>
      <c r="S69" s="18"/>
      <c r="T69" s="399"/>
    </row>
    <row r="70" spans="5:30" ht="16.5" thickBot="1" x14ac:dyDescent="0.3">
      <c r="F70" s="823" t="s">
        <v>120</v>
      </c>
      <c r="G70" s="824"/>
      <c r="J70" s="825" t="s">
        <v>115</v>
      </c>
      <c r="K70" s="826" t="e">
        <f>ROUND($D$18*K67+(1-$D$18)*(K66-10)*K53/(K53+K61),0)</f>
        <v>#DIV/0!</v>
      </c>
      <c r="L70" s="827"/>
      <c r="M70" s="827"/>
      <c r="N70" s="826" t="e">
        <f>ROUND($D$18*N67+(1-$D$18)*(N66-10)*MAX(N53,N54,N57,N58)/(MAX(N53,N54,N57,N58)+MAX(N55,N56,N59,N60)),0)</f>
        <v>#DIV/0!</v>
      </c>
      <c r="O70" s="827"/>
      <c r="P70" s="827"/>
      <c r="Q70" s="826" t="e">
        <f>ROUND($D$18*Q67+(1-$D$18)*(Q66-10)*Q54/(Q54+Q61),0)</f>
        <v>#DIV/0!</v>
      </c>
      <c r="R70" s="828"/>
      <c r="S70" s="18"/>
      <c r="T70" s="399"/>
    </row>
    <row r="71" spans="5:30" ht="16.5" thickBot="1" x14ac:dyDescent="0.3">
      <c r="F71" s="1723" t="s">
        <v>121</v>
      </c>
      <c r="G71" s="1724"/>
      <c r="J71" s="829" t="s">
        <v>117</v>
      </c>
      <c r="K71" s="830" t="e">
        <f>K66-K70-10</f>
        <v>#DIV/0!</v>
      </c>
      <c r="L71" s="831"/>
      <c r="M71" s="831"/>
      <c r="N71" s="832"/>
      <c r="O71" s="831"/>
      <c r="P71" s="831"/>
      <c r="Q71" s="830" t="e">
        <f>Q66-Q70-10</f>
        <v>#DIV/0!</v>
      </c>
      <c r="R71" s="833"/>
      <c r="S71" s="18"/>
    </row>
    <row r="72" spans="5:30" ht="16.5" thickBot="1" x14ac:dyDescent="0.3">
      <c r="J72" s="829" t="s">
        <v>119</v>
      </c>
      <c r="K72" s="834"/>
      <c r="L72" s="831"/>
      <c r="M72" s="831"/>
      <c r="N72" s="830" t="e">
        <f>N66-10-N70</f>
        <v>#DIV/0!</v>
      </c>
      <c r="O72" s="831"/>
      <c r="P72" s="831"/>
      <c r="Q72" s="834"/>
      <c r="R72" s="835"/>
      <c r="S72" s="18"/>
    </row>
    <row r="73" spans="5:30" ht="15.75" thickBot="1" x14ac:dyDescent="0.3">
      <c r="J73" s="711" t="s">
        <v>1095</v>
      </c>
      <c r="K73" s="712" t="e">
        <f>MAX(0,(1-VLOOKUP($D$19,$E$75:$F$80,2,FALSE)*K70/K66)/(1-K70/K66))</f>
        <v>#N/A</v>
      </c>
      <c r="L73" s="658"/>
      <c r="M73" s="658"/>
      <c r="N73" s="712" t="e">
        <f>MAX(0,(1-VLOOKUP($D$19,$E$75:$F$80,2,FALSE)*N70/N66)/(1-N70/N66))</f>
        <v>#N/A</v>
      </c>
      <c r="O73" s="712"/>
      <c r="P73" s="712"/>
      <c r="Q73" s="712" t="e">
        <f>MAX(0,(1-VLOOKUP($D$19,$E$75:$F$80,2,FALSE)*Q70/Q66)/(1-Q70/Q66))</f>
        <v>#N/A</v>
      </c>
      <c r="R73" s="561"/>
      <c r="S73" s="25"/>
    </row>
    <row r="74" spans="5:30" x14ac:dyDescent="0.25">
      <c r="E74" s="315" t="s">
        <v>946</v>
      </c>
      <c r="F74" s="316" t="s">
        <v>948</v>
      </c>
      <c r="G74" s="18"/>
      <c r="J74" s="714" t="s">
        <v>122</v>
      </c>
      <c r="K74" s="18">
        <v>1.25</v>
      </c>
      <c r="N74" s="789">
        <v>1</v>
      </c>
      <c r="Q74" s="308">
        <v>1.25</v>
      </c>
      <c r="R74" s="570"/>
      <c r="S74" s="26"/>
      <c r="T74" s="399"/>
    </row>
    <row r="75" spans="5:30" ht="15.75" thickBot="1" x14ac:dyDescent="0.3">
      <c r="E75" s="317">
        <v>1</v>
      </c>
      <c r="F75" s="318">
        <v>0.33</v>
      </c>
      <c r="G75" s="18"/>
      <c r="J75" s="716" t="s">
        <v>123</v>
      </c>
      <c r="K75" s="792">
        <v>0</v>
      </c>
      <c r="L75" s="248"/>
      <c r="M75" s="248"/>
      <c r="N75" s="663">
        <v>1</v>
      </c>
      <c r="O75" s="248"/>
      <c r="P75" s="248"/>
      <c r="Q75" s="792">
        <v>0</v>
      </c>
      <c r="R75" s="666"/>
      <c r="S75" s="26"/>
    </row>
    <row r="76" spans="5:30" ht="16.5" thickBot="1" x14ac:dyDescent="0.3">
      <c r="E76" s="317">
        <v>2</v>
      </c>
      <c r="F76" s="318">
        <v>0.67</v>
      </c>
      <c r="G76" s="18"/>
      <c r="K76" s="836">
        <f>K30</f>
        <v>0</v>
      </c>
      <c r="L76" s="776"/>
      <c r="N76" s="27"/>
      <c r="O76" s="27"/>
      <c r="P76" s="774"/>
      <c r="Q76" s="836" t="str">
        <f>Q30</f>
        <v>EB</v>
      </c>
      <c r="R76" s="776"/>
      <c r="S76" s="25"/>
    </row>
    <row r="77" spans="5:30" ht="20.25" customHeight="1" thickBot="1" x14ac:dyDescent="0.35">
      <c r="E77" s="317">
        <v>3</v>
      </c>
      <c r="F77" s="318">
        <v>1</v>
      </c>
      <c r="G77" s="18"/>
      <c r="J77" s="1703" t="s">
        <v>124</v>
      </c>
      <c r="K77" s="1704"/>
      <c r="L77" s="1704"/>
      <c r="M77" s="1704"/>
      <c r="N77" s="1704"/>
      <c r="O77" s="1704"/>
      <c r="P77" s="1704"/>
      <c r="Q77" s="1704"/>
      <c r="R77" s="1705"/>
      <c r="S77" s="25"/>
    </row>
    <row r="78" spans="5:30" ht="15.75" thickBot="1" x14ac:dyDescent="0.3">
      <c r="E78" s="317">
        <v>4</v>
      </c>
      <c r="F78" s="318">
        <v>1.33</v>
      </c>
      <c r="G78" s="18"/>
      <c r="J78" s="17" t="s">
        <v>986</v>
      </c>
      <c r="K78" s="309" t="e">
        <f>K53/(K70/K66)</f>
        <v>#DIV/0!</v>
      </c>
      <c r="L78" s="18"/>
      <c r="M78" s="18"/>
      <c r="N78" s="837" t="e">
        <f>N53/(N70/N66)</f>
        <v>#DIV/0!</v>
      </c>
      <c r="O78" s="21">
        <f>O53</f>
        <v>0</v>
      </c>
      <c r="P78" s="18"/>
      <c r="Q78" s="659">
        <v>0</v>
      </c>
      <c r="R78" s="570"/>
      <c r="V78" s="275"/>
      <c r="X78" s="14"/>
      <c r="AA78" s="14"/>
      <c r="AD78" s="14"/>
    </row>
    <row r="79" spans="5:30" x14ac:dyDescent="0.25">
      <c r="E79" s="317">
        <v>5</v>
      </c>
      <c r="F79" s="318">
        <v>1.67</v>
      </c>
      <c r="G79" s="18"/>
      <c r="J79" s="17" t="s">
        <v>125</v>
      </c>
      <c r="K79" s="659"/>
      <c r="L79" s="18"/>
      <c r="M79" s="18"/>
      <c r="N79" s="837" t="e">
        <f>N54/(N70/N66)</f>
        <v>#DIV/0!</v>
      </c>
      <c r="O79" s="21">
        <f t="shared" ref="O79:O85" si="5">O54</f>
        <v>0</v>
      </c>
      <c r="P79" s="18"/>
      <c r="Q79" s="712" t="e">
        <f>Q54/(Q70/Q66)</f>
        <v>#DIV/0!</v>
      </c>
      <c r="R79" s="570"/>
      <c r="X79" s="14"/>
      <c r="AA79" s="14"/>
      <c r="AD79" s="14"/>
    </row>
    <row r="80" spans="5:30" ht="15.75" thickBot="1" x14ac:dyDescent="0.3">
      <c r="E80" s="330">
        <v>6</v>
      </c>
      <c r="F80" s="331">
        <v>2</v>
      </c>
      <c r="G80" s="18"/>
      <c r="J80" s="17" t="s">
        <v>126</v>
      </c>
      <c r="K80" s="659">
        <v>0</v>
      </c>
      <c r="L80" s="18"/>
      <c r="M80" s="18"/>
      <c r="N80" s="837" t="e">
        <f>N55/(N72/N66)</f>
        <v>#DIV/0!</v>
      </c>
      <c r="O80" s="21" t="str">
        <f t="shared" si="5"/>
        <v>NBT</v>
      </c>
      <c r="P80" s="18"/>
      <c r="Q80" s="715">
        <v>0</v>
      </c>
      <c r="R80" s="570"/>
      <c r="X80" s="14"/>
      <c r="AA80" s="14"/>
      <c r="AD80" s="14"/>
    </row>
    <row r="81" spans="10:30" x14ac:dyDescent="0.25">
      <c r="J81" s="17" t="s">
        <v>127</v>
      </c>
      <c r="K81" s="659"/>
      <c r="L81" s="18"/>
      <c r="M81" s="18"/>
      <c r="N81" s="837" t="e">
        <f>N56/(N72/N66)</f>
        <v>#DIV/0!</v>
      </c>
      <c r="O81" s="21" t="str">
        <f t="shared" si="5"/>
        <v>SBT</v>
      </c>
      <c r="P81" s="18"/>
      <c r="Q81" s="715"/>
      <c r="R81" s="570"/>
      <c r="X81" s="14"/>
      <c r="AA81" s="14"/>
      <c r="AD81" s="14"/>
    </row>
    <row r="82" spans="10:30" x14ac:dyDescent="0.25">
      <c r="J82" s="17" t="s">
        <v>905</v>
      </c>
      <c r="K82" s="659"/>
      <c r="L82" s="18"/>
      <c r="M82" s="18"/>
      <c r="N82" s="837">
        <f>IF(N33=0,0,N57/(N70/N66))</f>
        <v>0</v>
      </c>
      <c r="O82" s="21">
        <f t="shared" si="5"/>
        <v>0</v>
      </c>
      <c r="P82" s="18"/>
      <c r="Q82" s="715"/>
      <c r="R82" s="570"/>
    </row>
    <row r="83" spans="10:30" x14ac:dyDescent="0.25">
      <c r="J83" s="17" t="s">
        <v>906</v>
      </c>
      <c r="K83" s="659"/>
      <c r="L83" s="18"/>
      <c r="M83" s="18"/>
      <c r="N83" s="837" t="e">
        <f>N58/(N72/N66)</f>
        <v>#DIV/0!</v>
      </c>
      <c r="O83" s="21">
        <f t="shared" si="5"/>
        <v>0</v>
      </c>
      <c r="P83" s="18"/>
      <c r="Q83" s="715"/>
      <c r="R83" s="570"/>
    </row>
    <row r="84" spans="10:30" x14ac:dyDescent="0.25">
      <c r="J84" s="17" t="s">
        <v>128</v>
      </c>
      <c r="K84" s="659">
        <v>0</v>
      </c>
      <c r="L84" s="18"/>
      <c r="M84" s="18"/>
      <c r="N84" s="837" t="e">
        <f>N59/(N72/N66)</f>
        <v>#DIV/0!</v>
      </c>
      <c r="O84" s="21">
        <f t="shared" si="5"/>
        <v>0</v>
      </c>
      <c r="P84" s="18"/>
      <c r="Q84" s="715">
        <v>0</v>
      </c>
      <c r="R84" s="570"/>
    </row>
    <row r="85" spans="10:30" x14ac:dyDescent="0.25">
      <c r="J85" s="17" t="s">
        <v>129</v>
      </c>
      <c r="K85" s="659"/>
      <c r="L85" s="18"/>
      <c r="M85" s="18"/>
      <c r="N85" s="837" t="e">
        <f>N60/(N72/N66)</f>
        <v>#DIV/0!</v>
      </c>
      <c r="O85" s="21">
        <f t="shared" si="5"/>
        <v>0</v>
      </c>
      <c r="P85" s="18"/>
      <c r="Q85" s="715"/>
      <c r="R85" s="570"/>
    </row>
    <row r="86" spans="10:30" ht="15.75" thickBot="1" x14ac:dyDescent="0.3">
      <c r="J86" s="19" t="s">
        <v>130</v>
      </c>
      <c r="K86" s="717" t="e">
        <f>K61/(K71/K66)</f>
        <v>#DIV/0!</v>
      </c>
      <c r="L86" s="663"/>
      <c r="M86" s="663"/>
      <c r="N86" s="805"/>
      <c r="O86" s="663"/>
      <c r="P86" s="663"/>
      <c r="Q86" s="717" t="e">
        <f>Q61/(Q71/Q66)</f>
        <v>#DIV/0!</v>
      </c>
      <c r="R86" s="666"/>
    </row>
    <row r="87" spans="10:30" ht="15.75" thickBot="1" x14ac:dyDescent="0.3">
      <c r="J87" s="560" t="s">
        <v>131</v>
      </c>
      <c r="K87" s="713" t="e">
        <f>K73*0.5*K66*(1-K70/K66)^2/(1-MIN(1,K78)*K70/K66)+225*(K78-1+SQRT((K78-1)^2+16*K78/(K40/K78)))</f>
        <v>#N/A</v>
      </c>
      <c r="L87" s="713"/>
      <c r="M87" s="713"/>
      <c r="N87" s="713" t="e">
        <f>N73*0.5*N66*(1-N70/N66)^2/(1-MIN(1,N78)*N70/N66)+225*(N78-1+SQRT((N78-1)^2+16*N78/(N40/N78)))</f>
        <v>#N/A</v>
      </c>
      <c r="O87" s="838">
        <f>O78</f>
        <v>0</v>
      </c>
      <c r="P87" s="713"/>
      <c r="Q87" s="799">
        <v>0</v>
      </c>
      <c r="R87" s="561"/>
    </row>
    <row r="88" spans="10:30" x14ac:dyDescent="0.25">
      <c r="J88" s="17" t="s">
        <v>132</v>
      </c>
      <c r="K88" s="725"/>
      <c r="L88" s="308"/>
      <c r="M88" s="308"/>
      <c r="N88" s="308" t="e">
        <f>N73*0.5*N67*(1-N70/N66)^2/(1-MIN(1,N79)*N70/N66)+225*(N79-1+SQRT((N79-1)^2+16*N79/(N41/N79)))</f>
        <v>#N/A</v>
      </c>
      <c r="O88" s="839">
        <f t="shared" ref="O88:O94" si="6">O79</f>
        <v>0</v>
      </c>
      <c r="P88" s="308"/>
      <c r="Q88" s="713" t="e">
        <f>Q74*0.5*Q66*(1-Q70/Q66)^2/(1-MIN(1,Q79)*Q70/Q66)+225*(Q79-1+SQRT((Q79-1)^2+16*Q79/(Q41/Q79)))</f>
        <v>#DIV/0!</v>
      </c>
      <c r="R88" s="570"/>
    </row>
    <row r="89" spans="10:30" x14ac:dyDescent="0.25">
      <c r="J89" s="17" t="s">
        <v>133</v>
      </c>
      <c r="K89" s="725">
        <v>0</v>
      </c>
      <c r="L89" s="308"/>
      <c r="M89" s="308"/>
      <c r="N89" s="308" t="e">
        <f>0.5*N66*(1-N72/N66)^2/(1-MIN(1,N80)*N72/N66)+225*(N80-1+SQRT((N80-1)^2+16*N80/(N42/N80)))</f>
        <v>#DIV/0!</v>
      </c>
      <c r="O89" s="839" t="str">
        <f t="shared" si="6"/>
        <v>NBT</v>
      </c>
      <c r="P89" s="308"/>
      <c r="Q89" s="725">
        <v>0</v>
      </c>
      <c r="R89" s="570"/>
    </row>
    <row r="90" spans="10:30" x14ac:dyDescent="0.25">
      <c r="J90" s="17" t="s">
        <v>134</v>
      </c>
      <c r="K90" s="725"/>
      <c r="L90" s="308"/>
      <c r="M90" s="308"/>
      <c r="N90" s="308" t="e">
        <f>0.5*N66*(1-N72/N66)^2/(1-MIN(1,N81)*N72/N66)+225*(N81-1+SQRT((N81-1)^2+16*N81/(N43/N81)))</f>
        <v>#DIV/0!</v>
      </c>
      <c r="O90" s="839" t="str">
        <f t="shared" si="6"/>
        <v>SBT</v>
      </c>
      <c r="P90" s="308"/>
      <c r="Q90" s="725"/>
      <c r="R90" s="570"/>
    </row>
    <row r="91" spans="10:30" x14ac:dyDescent="0.25">
      <c r="J91" s="17" t="s">
        <v>907</v>
      </c>
      <c r="K91" s="725"/>
      <c r="L91" s="308"/>
      <c r="M91" s="308"/>
      <c r="N91" s="308" t="e">
        <f>IF(N33=0,0,1)*(N73*0.5*N66*(1-N70/N66)^2/(1-MIN(1,N82)*N70/N66))+225*(N82-1+SQRT((N82-1)^2+16*N82/($P$27*MAX(1,N33)*N70/N66)))</f>
        <v>#N/A</v>
      </c>
      <c r="O91" s="839">
        <f t="shared" si="6"/>
        <v>0</v>
      </c>
      <c r="P91" s="308"/>
      <c r="Q91" s="725"/>
      <c r="R91" s="570"/>
    </row>
    <row r="92" spans="10:30" x14ac:dyDescent="0.25">
      <c r="J92" s="17" t="s">
        <v>908</v>
      </c>
      <c r="K92" s="725"/>
      <c r="L92" s="308"/>
      <c r="M92" s="308"/>
      <c r="N92" s="308" t="e">
        <f>IF(N34=0,0,N73*0.5*N66*(1-N70/N66)^2/(1-MIN(1,N83)*N70/N66))+225*(N83-1+SQRT((N83-1)^2+16*N83/(P27*MAX(1,N34)*N70/N66)))</f>
        <v>#DIV/0!</v>
      </c>
      <c r="O92" s="839">
        <f t="shared" si="6"/>
        <v>0</v>
      </c>
      <c r="P92" s="308"/>
      <c r="Q92" s="725"/>
      <c r="R92" s="570"/>
    </row>
    <row r="93" spans="10:30" x14ac:dyDescent="0.25">
      <c r="J93" s="17" t="s">
        <v>135</v>
      </c>
      <c r="K93" s="725">
        <v>0</v>
      </c>
      <c r="L93" s="308"/>
      <c r="M93" s="308"/>
      <c r="N93" s="308" t="e">
        <f>IF(N37=0,0,0.5*N66*(1-N72/N66)^2/(1-MIN(1,N84)*N72/N66))+225*(N84-1+SQRT((N84-1)^2+16*N84/(N46/N84)))</f>
        <v>#DIV/0!</v>
      </c>
      <c r="O93" s="839">
        <f t="shared" si="6"/>
        <v>0</v>
      </c>
      <c r="P93" s="308"/>
      <c r="Q93" s="725">
        <v>0</v>
      </c>
      <c r="R93" s="570"/>
    </row>
    <row r="94" spans="10:30" x14ac:dyDescent="0.25">
      <c r="J94" s="17" t="s">
        <v>136</v>
      </c>
      <c r="K94" s="725"/>
      <c r="L94" s="308"/>
      <c r="M94" s="308"/>
      <c r="N94" s="308" t="e">
        <f>IF(N38=0,0,0.5*N66*(1-N72/N66)^2/(1-MIN(1,N85)*N72/N66))+225*(N85-1+SQRT((N85-1)^2+16*N85/(N47/N85)))</f>
        <v>#DIV/0!</v>
      </c>
      <c r="O94" s="839">
        <f t="shared" si="6"/>
        <v>0</v>
      </c>
      <c r="P94" s="308"/>
      <c r="Q94" s="725"/>
      <c r="R94" s="570"/>
    </row>
    <row r="95" spans="10:30" ht="15.75" thickBot="1" x14ac:dyDescent="0.3">
      <c r="J95" s="19" t="s">
        <v>137</v>
      </c>
      <c r="K95" s="718" t="e">
        <f>0.5*K66*(1-K71/K66)^2/(1-MIN(1,K86)*K71/K66)+225*(K86-1+SQRT((K86-1)^2+16*K86/(K48/K86)))</f>
        <v>#DIV/0!</v>
      </c>
      <c r="L95" s="718"/>
      <c r="M95" s="718"/>
      <c r="N95" s="800"/>
      <c r="O95" s="718"/>
      <c r="P95" s="718"/>
      <c r="Q95" s="718" t="e">
        <f>0.5*Q66*(1-Q71/Q66)^2/(1-MIN(1,Q86)*Q71/Q66)+225*(Q86-1+SQRT((Q86-1)^2+16*Q87/(Q48/Q86)))</f>
        <v>#DIV/0!</v>
      </c>
      <c r="R95" s="666"/>
    </row>
    <row r="96" spans="10:30" ht="15.75" thickBot="1" x14ac:dyDescent="0.3">
      <c r="J96" s="840" t="s">
        <v>138</v>
      </c>
      <c r="K96" s="841" t="e">
        <f>SUMPRODUCT(K40:K48,K87:K95)/SUM(K40:K48)</f>
        <v>#DIV/0!</v>
      </c>
      <c r="L96" s="841"/>
      <c r="M96" s="841"/>
      <c r="N96" s="841" t="e">
        <f>SUMPRODUCT(N40:N48,N87:N95)/SUM(N40:N48)</f>
        <v>#DIV/0!</v>
      </c>
      <c r="O96" s="841"/>
      <c r="P96" s="841"/>
      <c r="Q96" s="841" t="e">
        <f>SUMPRODUCT(Q40:Q48,Q87:Q95)/SUM(Q40:Q48)</f>
        <v>#DIV/0!</v>
      </c>
      <c r="R96" s="842"/>
    </row>
    <row r="97" spans="10:18" ht="15.75" thickBot="1" x14ac:dyDescent="0.3">
      <c r="J97" s="560" t="s">
        <v>139</v>
      </c>
      <c r="K97" s="731" t="e">
        <f>2*25*K87*(K40/K78)/(3600*K31)</f>
        <v>#N/A</v>
      </c>
      <c r="L97" s="713" t="s">
        <v>86</v>
      </c>
      <c r="M97" s="713"/>
      <c r="N97" s="731" t="e">
        <f>2*25*N87*(N40/N78)/(3600*N31)</f>
        <v>#N/A</v>
      </c>
      <c r="O97" s="713" t="s">
        <v>86</v>
      </c>
      <c r="P97" s="713"/>
      <c r="Q97" s="799">
        <v>0</v>
      </c>
      <c r="R97" s="843" t="s">
        <v>86</v>
      </c>
    </row>
    <row r="98" spans="10:18" x14ac:dyDescent="0.25">
      <c r="J98" s="17" t="s">
        <v>140</v>
      </c>
      <c r="K98" s="725"/>
      <c r="L98" s="308"/>
      <c r="M98" s="308"/>
      <c r="N98" s="20" t="e">
        <f>2*25*N88*(N41/N79)/(3600*N32)</f>
        <v>#N/A</v>
      </c>
      <c r="O98" s="308" t="s">
        <v>86</v>
      </c>
      <c r="P98" s="308"/>
      <c r="Q98" s="731" t="e">
        <f>2*25*Q88*(Q41/Q79)/(3600*Q39)</f>
        <v>#DIV/0!</v>
      </c>
      <c r="R98" s="570"/>
    </row>
    <row r="99" spans="10:18" x14ac:dyDescent="0.25">
      <c r="J99" s="17" t="s">
        <v>141</v>
      </c>
      <c r="K99" s="725">
        <v>0</v>
      </c>
      <c r="L99" s="308"/>
      <c r="M99" s="308"/>
      <c r="N99" s="20" t="e">
        <f>2*25*N89*(N42/N80)/(3600*N35)</f>
        <v>#DIV/0!</v>
      </c>
      <c r="O99" s="308" t="s">
        <v>86</v>
      </c>
      <c r="P99" s="308"/>
      <c r="Q99" s="725">
        <v>0</v>
      </c>
      <c r="R99" s="570"/>
    </row>
    <row r="100" spans="10:18" x14ac:dyDescent="0.25">
      <c r="J100" s="17" t="s">
        <v>142</v>
      </c>
      <c r="K100" s="725"/>
      <c r="L100" s="308"/>
      <c r="M100" s="308"/>
      <c r="N100" s="20" t="e">
        <f>2*25*N90*(N43/N81)/(3600*N35)</f>
        <v>#DIV/0!</v>
      </c>
      <c r="O100" s="308" t="s">
        <v>86</v>
      </c>
      <c r="P100" s="308"/>
      <c r="Q100" s="725"/>
      <c r="R100" s="570"/>
    </row>
    <row r="101" spans="10:18" x14ac:dyDescent="0.25">
      <c r="J101" s="17" t="s">
        <v>909</v>
      </c>
      <c r="K101" s="725"/>
      <c r="L101" s="308"/>
      <c r="M101" s="308"/>
      <c r="N101" s="20" t="e">
        <f>IF(N33=0,0,1)*(50*N91*$P$27*N33*N70/N66)/(3600*(N33+0.0001))</f>
        <v>#N/A</v>
      </c>
      <c r="O101" s="308" t="s">
        <v>86</v>
      </c>
      <c r="P101" s="308"/>
      <c r="Q101" s="725"/>
      <c r="R101" s="570"/>
    </row>
    <row r="102" spans="10:18" x14ac:dyDescent="0.25">
      <c r="J102" s="17" t="s">
        <v>910</v>
      </c>
      <c r="K102" s="725"/>
      <c r="L102" s="308"/>
      <c r="M102" s="308"/>
      <c r="N102" s="20" t="e">
        <f>IF(N34=0,0,1)*(50*N92*$P$27*N34*N70/N66)/(3600*(N34+0.0001))</f>
        <v>#DIV/0!</v>
      </c>
      <c r="O102" s="308" t="s">
        <v>86</v>
      </c>
      <c r="P102" s="308"/>
      <c r="Q102" s="725"/>
      <c r="R102" s="570"/>
    </row>
    <row r="103" spans="10:18" x14ac:dyDescent="0.25">
      <c r="J103" s="17" t="s">
        <v>143</v>
      </c>
      <c r="K103" s="725">
        <v>0</v>
      </c>
      <c r="L103" s="308"/>
      <c r="M103" s="308"/>
      <c r="N103" s="20" t="e">
        <f>2*25*N93*(N46/N84)/(3600*N37)</f>
        <v>#DIV/0!</v>
      </c>
      <c r="O103" s="308" t="s">
        <v>86</v>
      </c>
      <c r="P103" s="308"/>
      <c r="Q103" s="725">
        <v>0</v>
      </c>
      <c r="R103" s="570"/>
    </row>
    <row r="104" spans="10:18" ht="15.75" thickBot="1" x14ac:dyDescent="0.3">
      <c r="J104" s="17" t="s">
        <v>1088</v>
      </c>
      <c r="K104" s="725"/>
      <c r="L104" s="308"/>
      <c r="M104" s="308"/>
      <c r="N104" s="20" t="e">
        <f>2*25*N94*(N47/N85)/(3600*N38)</f>
        <v>#DIV/0!</v>
      </c>
      <c r="O104" s="308" t="s">
        <v>86</v>
      </c>
      <c r="P104" s="308"/>
      <c r="Q104" s="725"/>
      <c r="R104" s="570"/>
    </row>
    <row r="105" spans="10:18" ht="15.75" thickBot="1" x14ac:dyDescent="0.3">
      <c r="J105" s="17" t="s">
        <v>144</v>
      </c>
      <c r="K105" s="731" t="e">
        <f>2*25*K95*(K48/K86)/(3600*K39)</f>
        <v>#DIV/0!</v>
      </c>
      <c r="L105" s="308" t="s">
        <v>86</v>
      </c>
      <c r="M105" s="308"/>
      <c r="N105" s="725"/>
      <c r="O105" s="308" t="s">
        <v>86</v>
      </c>
      <c r="P105" s="308"/>
      <c r="Q105" s="731" t="e">
        <f>2*25*Q95*(Q48/Q86)/(3600*Q39)</f>
        <v>#DIV/0!</v>
      </c>
      <c r="R105" s="844" t="s">
        <v>86</v>
      </c>
    </row>
    <row r="106" spans="10:18" ht="15.75" thickBot="1" x14ac:dyDescent="0.3">
      <c r="J106" s="461" t="s">
        <v>1219</v>
      </c>
      <c r="K106" s="418" t="e">
        <f>IF(K105 &lt;$D$12,"OK","NO-LOS-F")</f>
        <v>#DIV/0!</v>
      </c>
      <c r="L106" s="418"/>
      <c r="M106" s="418"/>
      <c r="N106" s="418"/>
      <c r="O106" s="418"/>
      <c r="P106" s="418"/>
      <c r="Q106" s="418" t="e">
        <f>IF(Q105 &lt;$D$12,"OK","NO-LOS-F")</f>
        <v>#DIV/0!</v>
      </c>
      <c r="R106" s="526"/>
    </row>
  </sheetData>
  <sheetProtection algorithmName="SHA-512" hashValue="ZcbPuuu3V0hckO5lrBwUD58kMblu+AwL5Pra6axF0BknJIKl7/47bUpMC2aCtEcrMWAOW41U8NkFZw2ddcz8bw==" saltValue="P4RUMQL8GJ3WSQA5IXI/HQ==" spinCount="100000" sheet="1" objects="1" scenarios="1"/>
  <mergeCells count="23">
    <mergeCell ref="B19:C19"/>
    <mergeCell ref="F13:G13"/>
    <mergeCell ref="D5:H5"/>
    <mergeCell ref="B3:D3"/>
    <mergeCell ref="J3:V3"/>
    <mergeCell ref="F6:H6"/>
    <mergeCell ref="F7:G7"/>
    <mergeCell ref="J77:R77"/>
    <mergeCell ref="G14:H14"/>
    <mergeCell ref="G15:H15"/>
    <mergeCell ref="L26:P26"/>
    <mergeCell ref="K29:L29"/>
    <mergeCell ref="N29:O29"/>
    <mergeCell ref="Q29:R29"/>
    <mergeCell ref="K30:L30"/>
    <mergeCell ref="N30:O30"/>
    <mergeCell ref="Q30:R30"/>
    <mergeCell ref="J63:R63"/>
    <mergeCell ref="F71:G71"/>
    <mergeCell ref="J26:K26"/>
    <mergeCell ref="J27:K27"/>
    <mergeCell ref="E29:I29"/>
    <mergeCell ref="J28:J30"/>
  </mergeCells>
  <conditionalFormatting sqref="K87 K95 Q88 Q95 N87:N94">
    <cfRule type="colorScale" priority="12">
      <colorScale>
        <cfvo type="min"/>
        <cfvo type="percentile" val="50"/>
        <cfvo type="max"/>
        <color rgb="FF63BE7B"/>
        <color rgb="FFFFEB84"/>
        <color rgb="FFF8696B"/>
      </colorScale>
    </cfRule>
  </conditionalFormatting>
  <conditionalFormatting sqref="K97 K105 Q98 Q105 N97:N104">
    <cfRule type="colorScale" priority="11">
      <colorScale>
        <cfvo type="min"/>
        <cfvo type="percentile" val="50"/>
        <cfvo type="max"/>
        <color rgb="FF63BE7B"/>
        <color rgb="FFFFEB84"/>
        <color rgb="FFF8696B"/>
      </colorScale>
    </cfRule>
  </conditionalFormatting>
  <conditionalFormatting sqref="K106 N106 Q106">
    <cfRule type="containsText" dxfId="82" priority="10" operator="containsText" text="NO-LOSF">
      <formula>NOT(ISERROR(SEARCH("NO-LOSF",K106)))</formula>
    </cfRule>
  </conditionalFormatting>
  <conditionalFormatting sqref="K62:Q62">
    <cfRule type="containsText" dxfId="81" priority="13" operator="containsText" text="OVERCAP">
      <formula>NOT(ISERROR(SEARCH("OVERCAP",K62)))</formula>
    </cfRule>
  </conditionalFormatting>
  <conditionalFormatting sqref="K16:V16">
    <cfRule type="colorScale" priority="9">
      <colorScale>
        <cfvo type="min"/>
        <cfvo type="percentile" val="50"/>
        <cfvo type="max"/>
        <color rgb="FF63BE7B"/>
        <color rgb="FFFFEB84"/>
        <color rgb="FFF8696B"/>
      </colorScale>
    </cfRule>
  </conditionalFormatting>
  <conditionalFormatting sqref="K18:V19">
    <cfRule type="cellIs" dxfId="80" priority="7" operator="equal">
      <formula>"F"</formula>
    </cfRule>
    <cfRule type="colorScale" priority="8">
      <colorScale>
        <cfvo type="min"/>
        <cfvo type="percentile" val="50"/>
        <cfvo type="max"/>
        <color rgb="FF63BE7B"/>
        <color rgb="FFFFEB84"/>
        <color rgb="FFF8696B"/>
      </colorScale>
    </cfRule>
  </conditionalFormatting>
  <conditionalFormatting sqref="K24:V24">
    <cfRule type="colorScale" priority="5">
      <colorScale>
        <cfvo type="min"/>
        <cfvo type="percentile" val="50"/>
        <cfvo type="max"/>
        <color rgb="FF63BE7B"/>
        <color rgb="FFFFEB84"/>
        <color rgb="FFF8696B"/>
      </colorScale>
    </cfRule>
  </conditionalFormatting>
  <conditionalFormatting sqref="M78:N85 K78:K86 P78:Q86 K86:N86">
    <cfRule type="cellIs" dxfId="79" priority="1" operator="greaterThan">
      <formula>1</formula>
    </cfRule>
  </conditionalFormatting>
  <conditionalFormatting sqref="Q79 Q86">
    <cfRule type="cellIs" dxfId="78" priority="2" operator="greaterThan">
      <formula>1</formula>
    </cfRule>
  </conditionalFormatting>
  <conditionalFormatting sqref="V20">
    <cfRule type="cellIs" dxfId="77" priority="3" operator="equal">
      <formula>"F"</formula>
    </cfRule>
    <cfRule type="colorScale" priority="4">
      <colorScale>
        <cfvo type="min"/>
        <cfvo type="percentile" val="50"/>
        <cfvo type="max"/>
        <color rgb="FF63BE7B"/>
        <color rgb="FFFFEB84"/>
        <color rgb="FFF8696B"/>
      </colorScale>
    </cfRule>
  </conditionalFormatting>
  <conditionalFormatting sqref="V21">
    <cfRule type="containsText" dxfId="76" priority="6" operator="containsText" text="YES">
      <formula>NOT(ISERROR(SEARCH("YES",V21)))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B1:AC113"/>
  <sheetViews>
    <sheetView topLeftCell="A2" zoomScale="120" zoomScaleNormal="120" workbookViewId="0">
      <selection activeCell="E30" sqref="E30"/>
    </sheetView>
  </sheetViews>
  <sheetFormatPr defaultColWidth="8.85546875" defaultRowHeight="15" x14ac:dyDescent="0.25"/>
  <cols>
    <col min="1" max="1" width="2.28515625" customWidth="1"/>
    <col min="2" max="2" width="10.85546875" customWidth="1"/>
    <col min="3" max="3" width="42.42578125" customWidth="1"/>
    <col min="4" max="4" width="11.28515625" customWidth="1"/>
    <col min="5" max="5" width="12" customWidth="1"/>
    <col min="6" max="6" width="7.42578125" customWidth="1"/>
    <col min="7" max="7" width="10.140625" customWidth="1"/>
    <col min="8" max="8" width="5.42578125" customWidth="1"/>
    <col min="9" max="9" width="41.85546875" customWidth="1"/>
    <col min="10" max="10" width="11.85546875" bestFit="1" customWidth="1"/>
    <col min="13" max="13" width="9.7109375" customWidth="1"/>
    <col min="14" max="14" width="12" customWidth="1"/>
    <col min="15" max="15" width="7.42578125" customWidth="1"/>
    <col min="16" max="16" width="11.28515625" customWidth="1"/>
    <col min="19" max="19" width="10.140625" customWidth="1"/>
    <col min="20" max="20" width="11" customWidth="1"/>
    <col min="21" max="21" width="14.28515625" customWidth="1"/>
    <col min="22" max="22" width="0.42578125" customWidth="1"/>
    <col min="24" max="24" width="10.7109375" customWidth="1"/>
  </cols>
  <sheetData>
    <row r="1" spans="2:24" ht="4.5" hidden="1" customHeight="1" x14ac:dyDescent="0.25"/>
    <row r="2" spans="2:24" ht="4.5" customHeight="1" thickBot="1" x14ac:dyDescent="0.3"/>
    <row r="3" spans="2:24" ht="19.5" thickBot="1" x14ac:dyDescent="0.35">
      <c r="B3" s="1685" t="s">
        <v>0</v>
      </c>
      <c r="C3" s="1686"/>
      <c r="D3" s="1687"/>
      <c r="I3" s="1685" t="s">
        <v>1067</v>
      </c>
      <c r="J3" s="1686"/>
      <c r="K3" s="1686"/>
      <c r="L3" s="1686"/>
      <c r="M3" s="1686"/>
      <c r="N3" s="1686"/>
      <c r="O3" s="1686"/>
      <c r="P3" s="1686"/>
      <c r="Q3" s="1686"/>
      <c r="R3" s="1686"/>
      <c r="S3" s="1686"/>
      <c r="T3" s="1686"/>
      <c r="U3" s="1687"/>
    </row>
    <row r="4" spans="2:24" ht="5.25" customHeight="1" thickBot="1" x14ac:dyDescent="0.3"/>
    <row r="5" spans="2:24" ht="20.25" customHeight="1" thickBot="1" x14ac:dyDescent="0.3">
      <c r="B5" s="560" t="s">
        <v>1043</v>
      </c>
      <c r="C5" s="484"/>
      <c r="D5" s="562">
        <f>'GLOBAL INPUTS'!F55</f>
        <v>0</v>
      </c>
      <c r="E5" s="849"/>
      <c r="F5" s="849"/>
      <c r="G5" s="850"/>
      <c r="H5" s="851"/>
    </row>
    <row r="6" spans="2:24" ht="15.75" x14ac:dyDescent="0.25">
      <c r="B6" s="17" t="s">
        <v>1089</v>
      </c>
      <c r="D6" s="571">
        <f>'GLOBAL INPUTS'!F56</f>
        <v>0</v>
      </c>
      <c r="E6" s="13"/>
      <c r="F6" s="1729"/>
      <c r="G6" s="1729"/>
      <c r="H6" s="1729"/>
      <c r="I6" s="566" t="s">
        <v>6</v>
      </c>
      <c r="J6" s="567">
        <v>2</v>
      </c>
      <c r="K6" s="567">
        <v>2</v>
      </c>
      <c r="L6" s="568">
        <v>2</v>
      </c>
      <c r="M6" s="569">
        <v>4</v>
      </c>
      <c r="N6" s="567">
        <v>4</v>
      </c>
      <c r="O6" s="568">
        <v>4</v>
      </c>
      <c r="P6" s="569">
        <v>6</v>
      </c>
      <c r="Q6" s="567">
        <v>6</v>
      </c>
      <c r="R6" s="568">
        <v>6</v>
      </c>
      <c r="S6" s="569">
        <v>8</v>
      </c>
      <c r="T6" s="567">
        <v>8</v>
      </c>
      <c r="U6" s="568">
        <v>8</v>
      </c>
      <c r="V6" s="1"/>
    </row>
    <row r="7" spans="2:24" ht="15.75" x14ac:dyDescent="0.25">
      <c r="B7" s="17" t="s">
        <v>1044</v>
      </c>
      <c r="D7" s="576">
        <f>'GLOBAL INPUTS'!F57</f>
        <v>0</v>
      </c>
      <c r="E7" s="742" t="s">
        <v>1035</v>
      </c>
      <c r="F7" s="1648"/>
      <c r="G7" s="1648"/>
      <c r="I7" s="573" t="s">
        <v>7</v>
      </c>
      <c r="J7" s="32">
        <v>4</v>
      </c>
      <c r="K7" s="32">
        <v>6</v>
      </c>
      <c r="L7" s="574">
        <v>8</v>
      </c>
      <c r="M7" s="575">
        <v>6</v>
      </c>
      <c r="N7" s="32">
        <v>8</v>
      </c>
      <c r="O7" s="574">
        <v>2</v>
      </c>
      <c r="P7" s="575">
        <v>8</v>
      </c>
      <c r="Q7" s="32">
        <v>2</v>
      </c>
      <c r="R7" s="574">
        <v>4</v>
      </c>
      <c r="S7" s="575">
        <v>2</v>
      </c>
      <c r="T7" s="32">
        <v>4</v>
      </c>
      <c r="U7" s="574">
        <v>6</v>
      </c>
      <c r="V7" s="1"/>
    </row>
    <row r="8" spans="2:24" ht="15.75" thickBot="1" x14ac:dyDescent="0.3">
      <c r="B8" s="17" t="s">
        <v>469</v>
      </c>
      <c r="D8" s="576">
        <f>'GLOBAL INPUTS'!F58</f>
        <v>0</v>
      </c>
      <c r="E8" s="742"/>
      <c r="I8" s="577" t="s">
        <v>8</v>
      </c>
      <c r="J8" s="18" t="s">
        <v>9</v>
      </c>
      <c r="K8" s="18" t="s">
        <v>10</v>
      </c>
      <c r="L8" s="578" t="s">
        <v>11</v>
      </c>
      <c r="M8" s="579" t="s">
        <v>9</v>
      </c>
      <c r="N8" s="18" t="s">
        <v>10</v>
      </c>
      <c r="O8" s="578" t="s">
        <v>11</v>
      </c>
      <c r="P8" s="579" t="s">
        <v>9</v>
      </c>
      <c r="Q8" s="18" t="s">
        <v>10</v>
      </c>
      <c r="R8" s="578" t="s">
        <v>11</v>
      </c>
      <c r="S8" s="579" t="s">
        <v>9</v>
      </c>
      <c r="T8" s="18" t="s">
        <v>10</v>
      </c>
      <c r="U8" s="578" t="s">
        <v>11</v>
      </c>
      <c r="V8" s="1"/>
    </row>
    <row r="9" spans="2:24" ht="16.5" thickBot="1" x14ac:dyDescent="0.3">
      <c r="B9" s="17" t="s">
        <v>1002</v>
      </c>
      <c r="D9" s="576">
        <f>'GLOBAL INPUTS'!F59</f>
        <v>0</v>
      </c>
      <c r="E9" s="742" t="s">
        <v>2</v>
      </c>
      <c r="I9" s="587" t="s">
        <v>41</v>
      </c>
      <c r="J9" s="743"/>
      <c r="K9" s="744">
        <f>D6</f>
        <v>0</v>
      </c>
      <c r="L9" s="745"/>
      <c r="M9" s="746"/>
      <c r="N9" s="744" t="str">
        <f>IF($D$6="SB","WB",IF($D$6="NB","EB",IF($D$6="EB","SB","NB")))</f>
        <v>NB</v>
      </c>
      <c r="O9" s="745"/>
      <c r="P9" s="746"/>
      <c r="Q9" s="744" t="str">
        <f>IF($D$6="SB","NB",IF($D$6="NB","SB",IF($D$6="EB","WB","EB")))</f>
        <v>EB</v>
      </c>
      <c r="R9" s="745"/>
      <c r="S9" s="746"/>
      <c r="T9" s="744" t="str">
        <f>IF(N9="SB","NB",IF(N9="NB","SB",IF(N9="EB","WB","EB")))</f>
        <v>SB</v>
      </c>
      <c r="U9" s="747"/>
      <c r="V9" s="1"/>
    </row>
    <row r="10" spans="2:24" ht="16.5" thickBot="1" x14ac:dyDescent="0.3">
      <c r="B10" s="17" t="s">
        <v>1070</v>
      </c>
      <c r="D10" s="571" t="s">
        <v>69</v>
      </c>
      <c r="E10" s="742"/>
      <c r="I10" s="748" t="s">
        <v>1090</v>
      </c>
      <c r="J10" s="588">
        <f>'GLOBAL INPUTS'!S56</f>
        <v>0</v>
      </c>
      <c r="K10" s="588">
        <f>'GLOBAL INPUTS'!S57</f>
        <v>0</v>
      </c>
      <c r="L10" s="588">
        <f>'GLOBAL INPUTS'!S58</f>
        <v>0</v>
      </c>
      <c r="M10" s="588">
        <f>'GLOBAL INPUTS'!S59</f>
        <v>0</v>
      </c>
      <c r="N10" s="588">
        <f>'GLOBAL INPUTS'!S60</f>
        <v>0</v>
      </c>
      <c r="O10" s="588">
        <f>'GLOBAL INPUTS'!S61</f>
        <v>0</v>
      </c>
      <c r="P10" s="588">
        <f>'GLOBAL INPUTS'!S62</f>
        <v>0</v>
      </c>
      <c r="Q10" s="588">
        <f>'GLOBAL INPUTS'!S63</f>
        <v>0</v>
      </c>
      <c r="R10" s="588">
        <f>'GLOBAL INPUTS'!S64</f>
        <v>0</v>
      </c>
      <c r="S10" s="588">
        <f>'GLOBAL INPUTS'!S65</f>
        <v>0</v>
      </c>
      <c r="T10" s="588">
        <f>'GLOBAL INPUTS'!S66</f>
        <v>0</v>
      </c>
      <c r="U10" s="852">
        <f>'GLOBAL INPUTS'!S67</f>
        <v>0</v>
      </c>
      <c r="V10" s="151"/>
    </row>
    <row r="11" spans="2:24" ht="16.5" thickBot="1" x14ac:dyDescent="0.3">
      <c r="B11" s="17" t="s">
        <v>1071</v>
      </c>
      <c r="D11" s="571" t="s">
        <v>69</v>
      </c>
      <c r="E11" s="13"/>
      <c r="I11" s="587" t="s">
        <v>91</v>
      </c>
      <c r="J11" s="853">
        <f>J10*$D$20</f>
        <v>0</v>
      </c>
      <c r="K11" s="853">
        <f t="shared" ref="K11:U11" si="0">K10*$D$20</f>
        <v>0</v>
      </c>
      <c r="L11" s="853">
        <f t="shared" si="0"/>
        <v>0</v>
      </c>
      <c r="M11" s="853">
        <f t="shared" si="0"/>
        <v>0</v>
      </c>
      <c r="N11" s="853">
        <f t="shared" si="0"/>
        <v>0</v>
      </c>
      <c r="O11" s="853">
        <f t="shared" si="0"/>
        <v>0</v>
      </c>
      <c r="P11" s="853">
        <f t="shared" si="0"/>
        <v>0</v>
      </c>
      <c r="Q11" s="853">
        <f t="shared" si="0"/>
        <v>0</v>
      </c>
      <c r="R11" s="853">
        <f t="shared" si="0"/>
        <v>0</v>
      </c>
      <c r="S11" s="853">
        <f t="shared" si="0"/>
        <v>0</v>
      </c>
      <c r="T11" s="853">
        <f t="shared" si="0"/>
        <v>0</v>
      </c>
      <c r="U11" s="853">
        <f t="shared" si="0"/>
        <v>0</v>
      </c>
      <c r="V11" s="1"/>
    </row>
    <row r="12" spans="2:24" x14ac:dyDescent="0.25">
      <c r="B12" s="591" t="s">
        <v>1045</v>
      </c>
      <c r="C12" s="18"/>
      <c r="D12" s="576">
        <f>'GLOBAL INPUTS'!F60</f>
        <v>0</v>
      </c>
      <c r="E12" s="742" t="s">
        <v>3</v>
      </c>
      <c r="F12" s="276"/>
      <c r="G12" s="14"/>
      <c r="I12" s="750" t="s">
        <v>31</v>
      </c>
      <c r="J12" s="274" t="e">
        <f t="shared" ref="J12:U12" si="1">ROUND(J11/$D$8,0)</f>
        <v>#DIV/0!</v>
      </c>
      <c r="K12" s="267" t="e">
        <f t="shared" si="1"/>
        <v>#DIV/0!</v>
      </c>
      <c r="L12" s="267" t="e">
        <f t="shared" si="1"/>
        <v>#DIV/0!</v>
      </c>
      <c r="M12" s="267" t="e">
        <f t="shared" si="1"/>
        <v>#DIV/0!</v>
      </c>
      <c r="N12" s="267" t="e">
        <f t="shared" si="1"/>
        <v>#DIV/0!</v>
      </c>
      <c r="O12" s="267" t="e">
        <f t="shared" si="1"/>
        <v>#DIV/0!</v>
      </c>
      <c r="P12" s="267" t="e">
        <f t="shared" si="1"/>
        <v>#DIV/0!</v>
      </c>
      <c r="Q12" s="267" t="e">
        <f t="shared" si="1"/>
        <v>#DIV/0!</v>
      </c>
      <c r="R12" s="267" t="e">
        <f t="shared" si="1"/>
        <v>#DIV/0!</v>
      </c>
      <c r="S12" s="267" t="e">
        <f t="shared" si="1"/>
        <v>#DIV/0!</v>
      </c>
      <c r="T12" s="267" t="e">
        <f t="shared" si="1"/>
        <v>#DIV/0!</v>
      </c>
      <c r="U12" s="267" t="e">
        <f t="shared" si="1"/>
        <v>#DIV/0!</v>
      </c>
      <c r="V12" s="1"/>
    </row>
    <row r="13" spans="2:24" ht="15.75" thickBot="1" x14ac:dyDescent="0.3">
      <c r="B13" s="17" t="s">
        <v>1072</v>
      </c>
      <c r="D13" s="576">
        <f>'GLOBAL INPUTS'!F61</f>
        <v>0</v>
      </c>
      <c r="E13" s="742" t="s">
        <v>1041</v>
      </c>
      <c r="F13" s="14"/>
      <c r="I13" s="751" t="s">
        <v>57</v>
      </c>
      <c r="J13" s="752" t="e">
        <f t="shared" ref="J13:U13" si="2">ROUND(J12*(1+$D$9/100),0)</f>
        <v>#DIV/0!</v>
      </c>
      <c r="K13" s="753" t="e">
        <f t="shared" si="2"/>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1"/>
    </row>
    <row r="14" spans="2:24" ht="15.75" thickBot="1" x14ac:dyDescent="0.3">
      <c r="B14" s="17" t="s">
        <v>1047</v>
      </c>
      <c r="D14" s="576">
        <f>'GLOBAL INPUTS'!F62</f>
        <v>0</v>
      </c>
      <c r="E14" s="742" t="s">
        <v>3</v>
      </c>
      <c r="I14" s="754" t="s">
        <v>1065</v>
      </c>
      <c r="J14" s="755" t="e">
        <f>J91+M91+P99+IF(M39=0,M92,M96)</f>
        <v>#N/A</v>
      </c>
      <c r="K14" s="755" t="e">
        <f>J91+M91</f>
        <v>#N/A</v>
      </c>
      <c r="L14" s="756" t="e">
        <f>J91+M91</f>
        <v>#N/A</v>
      </c>
      <c r="M14" s="757" t="e">
        <f>M93</f>
        <v>#DIV/0!</v>
      </c>
      <c r="N14" s="755" t="e">
        <f>M93</f>
        <v>#DIV/0!</v>
      </c>
      <c r="O14" s="756" t="e">
        <f>IF(M39=0,M93,M97)</f>
        <v>#DIV/0!</v>
      </c>
      <c r="P14" s="757" t="e">
        <f>P92+M92+J99+IF(M39=0,M91,M96)</f>
        <v>#DIV/0!</v>
      </c>
      <c r="Q14" s="755" t="e">
        <f>M92+P92</f>
        <v>#N/A</v>
      </c>
      <c r="R14" s="756" t="e">
        <f>P92+IF(M39=0,M92,M96)</f>
        <v>#DIV/0!</v>
      </c>
      <c r="S14" s="757" t="e">
        <f>IF(M38=0,M94,M96)</f>
        <v>#DIV/0!</v>
      </c>
      <c r="T14" s="755" t="e">
        <f>M94</f>
        <v>#DIV/0!</v>
      </c>
      <c r="U14" s="756" t="e">
        <f>IF(M40=0,M94,M98)</f>
        <v>#DIV/0!</v>
      </c>
      <c r="V14" s="1"/>
      <c r="W14" s="1"/>
      <c r="X14" s="1"/>
    </row>
    <row r="15" spans="2:24" x14ac:dyDescent="0.25">
      <c r="B15" s="17" t="s">
        <v>1073</v>
      </c>
      <c r="D15" s="576">
        <f>'GLOBAL INPUTS'!F63</f>
        <v>0</v>
      </c>
      <c r="E15" s="742" t="s">
        <v>708</v>
      </c>
      <c r="I15" s="754" t="s">
        <v>1064</v>
      </c>
      <c r="J15" s="322" t="e">
        <f>2*$D$12/($D$7*1.47)</f>
        <v>#DIV/0!</v>
      </c>
      <c r="K15" s="322"/>
      <c r="L15" s="604"/>
      <c r="M15" s="322"/>
      <c r="N15" s="322"/>
      <c r="O15" s="604"/>
      <c r="P15" s="322" t="e">
        <f>2*$D$12/($D$7*1.47)</f>
        <v>#DIV/0!</v>
      </c>
      <c r="Q15" s="322"/>
      <c r="R15" s="604"/>
      <c r="S15" s="322"/>
      <c r="T15" s="322"/>
      <c r="U15" s="604"/>
      <c r="V15" s="1"/>
      <c r="W15" s="1"/>
      <c r="X15" s="1"/>
    </row>
    <row r="16" spans="2:24" ht="15.75" x14ac:dyDescent="0.25">
      <c r="B16" s="17" t="s">
        <v>1050</v>
      </c>
      <c r="D16" s="576">
        <f>'GLOBAL INPUTS'!F64</f>
        <v>0</v>
      </c>
      <c r="E16" s="742" t="s">
        <v>708</v>
      </c>
      <c r="I16" s="754" t="s">
        <v>1063</v>
      </c>
      <c r="J16" s="760" t="e">
        <f t="shared" ref="J16:U16" si="3">J14+J15</f>
        <v>#N/A</v>
      </c>
      <c r="K16" s="760" t="e">
        <f t="shared" si="3"/>
        <v>#N/A</v>
      </c>
      <c r="L16" s="761" t="e">
        <f t="shared" si="3"/>
        <v>#N/A</v>
      </c>
      <c r="M16" s="762" t="e">
        <f t="shared" si="3"/>
        <v>#DIV/0!</v>
      </c>
      <c r="N16" s="760" t="e">
        <f t="shared" si="3"/>
        <v>#DIV/0!</v>
      </c>
      <c r="O16" s="761" t="e">
        <f>M97</f>
        <v>#DIV/0!</v>
      </c>
      <c r="P16" s="762" t="e">
        <f t="shared" si="3"/>
        <v>#DIV/0!</v>
      </c>
      <c r="Q16" s="760" t="e">
        <f t="shared" si="3"/>
        <v>#N/A</v>
      </c>
      <c r="R16" s="761" t="e">
        <f t="shared" si="3"/>
        <v>#DIV/0!</v>
      </c>
      <c r="S16" s="762" t="e">
        <f t="shared" si="3"/>
        <v>#DIV/0!</v>
      </c>
      <c r="T16" s="760" t="e">
        <f>M94</f>
        <v>#DIV/0!</v>
      </c>
      <c r="U16" s="761" t="e">
        <f t="shared" si="3"/>
        <v>#DIV/0!</v>
      </c>
      <c r="V16" s="1"/>
      <c r="W16" s="1"/>
      <c r="X16" s="2"/>
    </row>
    <row r="17" spans="2:24" ht="16.5" thickBot="1" x14ac:dyDescent="0.3">
      <c r="B17" s="17" t="s">
        <v>61</v>
      </c>
      <c r="D17" s="576">
        <f>'GLOBAL INPUTS'!F65</f>
        <v>0</v>
      </c>
      <c r="E17" s="742" t="s">
        <v>1006</v>
      </c>
      <c r="I17" s="754" t="s">
        <v>1077</v>
      </c>
      <c r="J17" s="203"/>
      <c r="K17" s="610" t="e">
        <f>SUMPRODUCT(J13:L13,J16:L16)/SUM(J13:L13)</f>
        <v>#DIV/0!</v>
      </c>
      <c r="L17" s="611"/>
      <c r="M17" s="612"/>
      <c r="N17" s="610" t="e">
        <f>SUMPRODUCT(M13:O13,M16:O16)/SUM(M13:O13)</f>
        <v>#DIV/0!</v>
      </c>
      <c r="O17" s="611"/>
      <c r="P17" s="612"/>
      <c r="Q17" s="610" t="e">
        <f>SUMPRODUCT(P13:R13,P16:R16)/SUM(P13:R13)</f>
        <v>#DIV/0!</v>
      </c>
      <c r="R17" s="611"/>
      <c r="S17" s="612"/>
      <c r="T17" s="610" t="e">
        <f>SUMPRODUCT(S13:U13,S16:U16)/SUM(S13:U13)</f>
        <v>#DIV/0!</v>
      </c>
      <c r="U17" s="613"/>
      <c r="V17" s="1"/>
      <c r="W17" s="1"/>
      <c r="X17" s="1"/>
    </row>
    <row r="18" spans="2:24" ht="15.75" thickBot="1" x14ac:dyDescent="0.3">
      <c r="B18" s="17" t="s">
        <v>1074</v>
      </c>
      <c r="D18" s="576">
        <f>'GLOBAL INPUTS'!F66</f>
        <v>0</v>
      </c>
      <c r="E18" s="742"/>
      <c r="I18" s="763" t="s">
        <v>95</v>
      </c>
      <c r="J18" s="764" t="e">
        <f>VLOOKUP(J16,$S$29:$T$34,2,TRUE)</f>
        <v>#N/A</v>
      </c>
      <c r="K18" s="764" t="e">
        <f t="shared" ref="K18:U18" si="4">VLOOKUP(K16,$S$29:$T$34,2,TRUE)</f>
        <v>#N/A</v>
      </c>
      <c r="L18" s="764" t="e">
        <f t="shared" si="4"/>
        <v>#N/A</v>
      </c>
      <c r="M18" s="764" t="e">
        <f t="shared" si="4"/>
        <v>#DIV/0!</v>
      </c>
      <c r="N18" s="764" t="e">
        <f t="shared" si="4"/>
        <v>#DIV/0!</v>
      </c>
      <c r="O18" s="764" t="e">
        <f t="shared" si="4"/>
        <v>#DIV/0!</v>
      </c>
      <c r="P18" s="764" t="e">
        <f t="shared" si="4"/>
        <v>#DIV/0!</v>
      </c>
      <c r="Q18" s="764" t="e">
        <f t="shared" si="4"/>
        <v>#N/A</v>
      </c>
      <c r="R18" s="764" t="e">
        <f t="shared" si="4"/>
        <v>#DIV/0!</v>
      </c>
      <c r="S18" s="764" t="e">
        <f t="shared" si="4"/>
        <v>#DIV/0!</v>
      </c>
      <c r="T18" s="764" t="e">
        <f t="shared" si="4"/>
        <v>#DIV/0!</v>
      </c>
      <c r="U18" s="764" t="e">
        <f t="shared" si="4"/>
        <v>#DIV/0!</v>
      </c>
      <c r="V18" s="1"/>
      <c r="W18" s="1"/>
      <c r="X18" s="1"/>
    </row>
    <row r="19" spans="2:24" ht="15.75" thickBot="1" x14ac:dyDescent="0.3">
      <c r="B19" s="1691" t="str">
        <f>'GLOBAL INPUTS'!D67</f>
        <v xml:space="preserve">Coordination arrival type on major road (1=poor; 6=outstanding) </v>
      </c>
      <c r="C19" s="1692"/>
      <c r="D19" s="576">
        <f>'GLOBAL INPUTS'!F67</f>
        <v>0</v>
      </c>
      <c r="E19" s="742"/>
      <c r="I19" s="15"/>
      <c r="J19" s="418"/>
      <c r="K19" s="418"/>
      <c r="L19" s="418"/>
      <c r="M19" s="418"/>
      <c r="N19" s="636"/>
      <c r="O19" s="636"/>
      <c r="P19" s="418"/>
      <c r="Q19" s="418"/>
      <c r="R19" s="418"/>
      <c r="S19" s="418"/>
      <c r="T19" s="455"/>
      <c r="U19" s="455"/>
      <c r="V19" s="1"/>
      <c r="W19" s="1"/>
      <c r="X19" s="1"/>
    </row>
    <row r="20" spans="2:24" ht="21.75" thickBot="1" x14ac:dyDescent="0.4">
      <c r="B20" s="19" t="s">
        <v>1051</v>
      </c>
      <c r="C20" s="248"/>
      <c r="D20" s="765">
        <f>'GLOBAL INPUTS'!F68</f>
        <v>0</v>
      </c>
      <c r="E20" s="766"/>
      <c r="J20" s="854" t="s">
        <v>76</v>
      </c>
      <c r="K20" s="855"/>
      <c r="L20" s="526"/>
      <c r="M20" s="856" t="e">
        <f>SUMPRODUCT(J10:U10,J14:U14)/SUM(J10:U10)</f>
        <v>#N/A</v>
      </c>
      <c r="N20" s="636"/>
      <c r="O20" s="616"/>
      <c r="P20" s="767" t="s">
        <v>152</v>
      </c>
      <c r="Q20" s="768"/>
      <c r="R20" s="768"/>
      <c r="S20" s="769"/>
      <c r="T20" s="621" t="e">
        <f>SUMPRODUCT(J13:U13,J16:U16)/SUM(J13:U13)</f>
        <v>#DIV/0!</v>
      </c>
      <c r="U20" s="622" t="e">
        <f>VLOOKUP(T20,$S$29:$T$34,2,TRUE)</f>
        <v>#DIV/0!</v>
      </c>
      <c r="V20" s="1"/>
      <c r="W20" s="1"/>
      <c r="X20" s="1"/>
    </row>
    <row r="21" spans="2:24" ht="19.5" thickBot="1" x14ac:dyDescent="0.35">
      <c r="J21" s="195"/>
      <c r="K21" s="195"/>
      <c r="O21" s="195"/>
      <c r="P21" s="262" t="s">
        <v>1091</v>
      </c>
      <c r="Q21" s="263"/>
      <c r="R21" s="263"/>
      <c r="S21" s="263"/>
      <c r="T21" s="264"/>
      <c r="U21" s="773" t="e">
        <f>IF(MAX(J84,P84,M82,S80)&gt;D13/25,"YES-LOS F", "NO")</f>
        <v>#DIV/0!</v>
      </c>
    </row>
    <row r="22" spans="2:24" ht="19.5" thickBot="1" x14ac:dyDescent="0.35">
      <c r="J22" s="195"/>
      <c r="K22" s="195"/>
      <c r="L22" s="195"/>
      <c r="M22" s="195"/>
      <c r="N22" s="195"/>
      <c r="O22" s="195"/>
      <c r="P22" s="262" t="s">
        <v>1092</v>
      </c>
      <c r="Q22" s="263"/>
      <c r="R22" s="263"/>
      <c r="S22" s="263"/>
      <c r="T22" s="264"/>
      <c r="U22" s="773" t="e">
        <f>IF(J110="OK",IF(P110="OK","NO","YES-LOS-F"))</f>
        <v>#DIV/0!</v>
      </c>
    </row>
    <row r="23" spans="2:24" x14ac:dyDescent="0.25">
      <c r="S23" s="15"/>
      <c r="T23" s="15"/>
    </row>
    <row r="24" spans="2:24" x14ac:dyDescent="0.25">
      <c r="J24" s="18"/>
      <c r="K24" s="18"/>
      <c r="L24" s="18"/>
      <c r="M24" s="18"/>
      <c r="N24" s="18"/>
      <c r="O24" s="18"/>
      <c r="P24" s="18"/>
      <c r="Q24" s="18"/>
      <c r="R24" s="18"/>
      <c r="S24" s="18"/>
      <c r="T24" s="18"/>
      <c r="U24" s="18"/>
    </row>
    <row r="25" spans="2:24" ht="16.5" thickBot="1" x14ac:dyDescent="0.3">
      <c r="S25" s="682"/>
    </row>
    <row r="26" spans="2:24" ht="19.5" thickBot="1" x14ac:dyDescent="0.35">
      <c r="K26" s="560"/>
      <c r="L26" s="649"/>
      <c r="M26" s="649" t="s">
        <v>60</v>
      </c>
      <c r="N26" s="649"/>
      <c r="O26" s="561"/>
      <c r="T26" s="774"/>
      <c r="U26" s="623"/>
    </row>
    <row r="27" spans="2:24" ht="19.5" thickBot="1" x14ac:dyDescent="0.35">
      <c r="K27" s="650" t="s">
        <v>46</v>
      </c>
      <c r="L27" s="651"/>
      <c r="M27" s="651"/>
      <c r="N27" s="651"/>
      <c r="O27" s="652">
        <f>ROUND((0.95*D17)/5,0)*5</f>
        <v>0</v>
      </c>
      <c r="S27" s="1706" t="s">
        <v>93</v>
      </c>
      <c r="T27" s="1707"/>
    </row>
    <row r="28" spans="2:24" ht="15.75" thickBot="1" x14ac:dyDescent="0.3">
      <c r="I28" s="1700" t="s">
        <v>955</v>
      </c>
      <c r="S28" s="1708" t="s">
        <v>94</v>
      </c>
      <c r="T28" s="1709"/>
    </row>
    <row r="29" spans="2:24" ht="18.75" x14ac:dyDescent="0.3">
      <c r="E29" s="21" t="s">
        <v>1374</v>
      </c>
      <c r="F29" s="21"/>
      <c r="G29" s="21"/>
      <c r="H29" s="21"/>
      <c r="I29" s="1701"/>
      <c r="J29" s="1688" t="s">
        <v>12</v>
      </c>
      <c r="K29" s="1689"/>
      <c r="L29" s="15"/>
      <c r="M29" s="1713" t="s">
        <v>100</v>
      </c>
      <c r="N29" s="1714"/>
      <c r="O29" s="15"/>
      <c r="P29" s="1688" t="s">
        <v>14</v>
      </c>
      <c r="Q29" s="1689"/>
      <c r="S29" s="758">
        <v>0</v>
      </c>
      <c r="T29" s="759" t="s">
        <v>16</v>
      </c>
      <c r="U29" s="195"/>
    </row>
    <row r="30" spans="2:24" ht="16.5" thickBot="1" x14ac:dyDescent="0.3">
      <c r="E30" t="s">
        <v>1052</v>
      </c>
      <c r="I30" s="1702"/>
      <c r="J30" s="1715">
        <f>D6</f>
        <v>0</v>
      </c>
      <c r="K30" s="1716"/>
      <c r="M30" s="1730" t="str">
        <f>N9</f>
        <v>NB</v>
      </c>
      <c r="N30" s="1718"/>
      <c r="O30" s="774"/>
      <c r="P30" s="1715" t="str">
        <f>Q9</f>
        <v>EB</v>
      </c>
      <c r="Q30" s="1716"/>
      <c r="S30" s="758">
        <v>10</v>
      </c>
      <c r="T30" s="759" t="s">
        <v>17</v>
      </c>
    </row>
    <row r="31" spans="2:24" ht="14.25" customHeight="1" x14ac:dyDescent="0.25">
      <c r="E31" s="1664"/>
      <c r="F31" s="1664"/>
      <c r="G31" s="1664"/>
      <c r="I31" s="483" t="s">
        <v>457</v>
      </c>
      <c r="J31" s="10"/>
      <c r="K31" s="636" t="str">
        <f>CONCATENATE(J30,"T")</f>
        <v>0T</v>
      </c>
      <c r="L31" s="658"/>
      <c r="M31" s="12"/>
      <c r="N31" s="636" t="str">
        <f>CONCATENATE($J$30,"T")</f>
        <v>0T</v>
      </c>
      <c r="O31" s="658"/>
      <c r="P31" s="857"/>
      <c r="Q31" s="561"/>
      <c r="S31" s="758">
        <v>20</v>
      </c>
      <c r="T31" s="759" t="s">
        <v>18</v>
      </c>
    </row>
    <row r="32" spans="2:24" ht="12.75" customHeight="1" x14ac:dyDescent="0.25">
      <c r="E32" s="1664"/>
      <c r="F32" s="1664"/>
      <c r="G32" s="1664"/>
      <c r="I32" s="858" t="s">
        <v>458</v>
      </c>
      <c r="J32" s="789"/>
      <c r="K32" s="15"/>
      <c r="M32" s="37"/>
      <c r="N32" s="14" t="str">
        <f>CONCATENATE($P$30,"T")</f>
        <v>EBT</v>
      </c>
      <c r="P32" s="890"/>
      <c r="Q32" s="662" t="str">
        <f>CONCATENATE(P30,"T")</f>
        <v>EBT</v>
      </c>
      <c r="S32" s="758">
        <v>35</v>
      </c>
      <c r="T32" s="759" t="s">
        <v>19</v>
      </c>
    </row>
    <row r="33" spans="2:29" ht="15.75" x14ac:dyDescent="0.25">
      <c r="I33" s="859" t="s">
        <v>459</v>
      </c>
      <c r="J33" s="789"/>
      <c r="K33" s="15"/>
      <c r="M33" s="37"/>
      <c r="N33" s="14" t="str">
        <f>CONCATENATE($J$30,"R")</f>
        <v>0R</v>
      </c>
      <c r="P33" s="789"/>
      <c r="Q33" s="662"/>
      <c r="S33" s="758">
        <v>55</v>
      </c>
      <c r="T33" s="759" t="s">
        <v>20</v>
      </c>
    </row>
    <row r="34" spans="2:29" ht="15.75" x14ac:dyDescent="0.25">
      <c r="I34" s="858" t="s">
        <v>460</v>
      </c>
      <c r="J34" s="789"/>
      <c r="K34" s="15"/>
      <c r="M34" s="37"/>
      <c r="N34" s="14" t="str">
        <f>CONCATENATE($P$30,"R")</f>
        <v>EBR</v>
      </c>
      <c r="P34" s="789"/>
      <c r="Q34" s="662"/>
      <c r="S34" s="758">
        <v>80</v>
      </c>
      <c r="T34" s="759" t="s">
        <v>21</v>
      </c>
    </row>
    <row r="35" spans="2:29" ht="15.75" x14ac:dyDescent="0.25">
      <c r="I35" s="859" t="s">
        <v>813</v>
      </c>
      <c r="J35" s="789"/>
      <c r="K35" s="15"/>
      <c r="M35" s="37"/>
      <c r="N35" s="14" t="str">
        <f>CONCATENATE($M$30,"T")</f>
        <v>NBT</v>
      </c>
      <c r="P35" s="789"/>
      <c r="Q35" s="662"/>
      <c r="R35" s="15"/>
    </row>
    <row r="36" spans="2:29" ht="15.75" x14ac:dyDescent="0.25">
      <c r="I36" s="858" t="s">
        <v>814</v>
      </c>
      <c r="J36" s="659"/>
      <c r="K36" s="14"/>
      <c r="L36" s="18"/>
      <c r="M36" s="37"/>
      <c r="N36" s="14" t="str">
        <f>IF(N35="NBT","SBT",IF(N35="SBT","NBT",IF(N35="EBT","WBT",IF(N35="WBT","EBT"))))</f>
        <v>SBT</v>
      </c>
      <c r="O36" s="18"/>
      <c r="P36" s="661"/>
      <c r="Q36" s="662"/>
    </row>
    <row r="37" spans="2:29" ht="15.75" x14ac:dyDescent="0.25">
      <c r="I37" s="13" t="s">
        <v>815</v>
      </c>
      <c r="J37" s="659"/>
      <c r="K37" s="14"/>
      <c r="L37" s="18"/>
      <c r="M37" s="37"/>
      <c r="N37" s="14" t="str">
        <f>CONCATENATE($M$30,"L")</f>
        <v>NBL</v>
      </c>
      <c r="O37" s="18"/>
      <c r="P37" s="661"/>
      <c r="Q37" s="662"/>
    </row>
    <row r="38" spans="2:29" ht="15.75" x14ac:dyDescent="0.25">
      <c r="I38" s="13" t="s">
        <v>816</v>
      </c>
      <c r="J38" s="659"/>
      <c r="K38" s="14"/>
      <c r="L38" s="18"/>
      <c r="M38" s="37"/>
      <c r="N38" s="14" t="str">
        <f>IF(N37="NBL","SBL",IF(N37="SBL","NBL",IF(N37="EBL","WBL",IF(N37="WBL","EBL"))))</f>
        <v>SBL</v>
      </c>
      <c r="O38" s="18"/>
      <c r="P38" s="661"/>
      <c r="Q38" s="662"/>
    </row>
    <row r="39" spans="2:29" ht="15.75" x14ac:dyDescent="0.25">
      <c r="B39" s="720" t="s">
        <v>103</v>
      </c>
      <c r="I39" s="859" t="s">
        <v>461</v>
      </c>
      <c r="J39" s="659"/>
      <c r="K39" s="14"/>
      <c r="L39" s="18"/>
      <c r="M39" s="37"/>
      <c r="N39" s="14" t="str">
        <f>CONCATENATE($M$30,"R")</f>
        <v>NBR</v>
      </c>
      <c r="O39" s="18"/>
      <c r="P39" s="661"/>
      <c r="Q39" s="662"/>
    </row>
    <row r="40" spans="2:29" ht="16.5" thickBot="1" x14ac:dyDescent="0.3">
      <c r="I40" s="858" t="s">
        <v>462</v>
      </c>
      <c r="J40" s="789"/>
      <c r="K40" s="15"/>
      <c r="M40" s="889"/>
      <c r="N40" s="14" t="str">
        <f>IF(N39="NBR","SBR",IF(N39="SBR","NBR",IF(N39="EBR","WBR",IF(N39="WBR","EBR"))))</f>
        <v>SBR</v>
      </c>
      <c r="P40" s="789"/>
      <c r="Q40" s="662"/>
    </row>
    <row r="41" spans="2:29" ht="16.5" thickBot="1" x14ac:dyDescent="0.3">
      <c r="B41" s="683" t="s">
        <v>1215</v>
      </c>
      <c r="C41" s="526" t="s">
        <v>1217</v>
      </c>
      <c r="D41" s="464" t="s">
        <v>106</v>
      </c>
      <c r="I41" s="28" t="s">
        <v>1260</v>
      </c>
      <c r="J41" s="3"/>
      <c r="K41" s="455" t="str">
        <f>CONCATENATE(P30,"L")</f>
        <v>EBL</v>
      </c>
      <c r="L41" s="663"/>
      <c r="M41" s="860"/>
      <c r="N41" s="861"/>
      <c r="O41" s="663"/>
      <c r="P41" s="11"/>
      <c r="Q41" s="665" t="str">
        <f>CONCATENATE(J30,"L")</f>
        <v>0L</v>
      </c>
    </row>
    <row r="42" spans="2:29" x14ac:dyDescent="0.25">
      <c r="B42" s="579" t="s">
        <v>69</v>
      </c>
      <c r="C42" s="598">
        <v>1</v>
      </c>
      <c r="D42" s="790"/>
      <c r="I42" s="17" t="s">
        <v>101</v>
      </c>
      <c r="J42" s="731" t="e">
        <f>SUM(J13:L13)*J52</f>
        <v>#DIV/0!</v>
      </c>
      <c r="K42" s="484"/>
      <c r="L42" s="484"/>
      <c r="M42" s="731" t="e">
        <f>J13+K13+IF(M33=0,L13+P13,0)</f>
        <v>#DIV/0!</v>
      </c>
      <c r="N42" s="862"/>
      <c r="O42" s="484"/>
      <c r="P42" s="863">
        <v>0</v>
      </c>
      <c r="Q42" s="561"/>
      <c r="S42" s="15"/>
    </row>
    <row r="43" spans="2:29" x14ac:dyDescent="0.25">
      <c r="B43" s="579" t="s">
        <v>9</v>
      </c>
      <c r="C43" s="598">
        <v>1.2</v>
      </c>
      <c r="D43" s="13">
        <v>199</v>
      </c>
      <c r="I43" s="17" t="s">
        <v>102</v>
      </c>
      <c r="J43" s="659"/>
      <c r="M43" s="20" t="e">
        <f>Q13+P13+IF(M34=0,R13+J13,0)</f>
        <v>#DIV/0!</v>
      </c>
      <c r="N43" s="525"/>
      <c r="P43" s="20" t="e">
        <f>SUM(P13:R13)*P52</f>
        <v>#DIV/0!</v>
      </c>
      <c r="Q43" s="570"/>
    </row>
    <row r="44" spans="2:29" x14ac:dyDescent="0.25">
      <c r="B44" s="579" t="s">
        <v>68</v>
      </c>
      <c r="C44" s="598">
        <v>1.3</v>
      </c>
      <c r="D44" s="13">
        <v>399</v>
      </c>
      <c r="I44" s="859" t="s">
        <v>817</v>
      </c>
      <c r="J44" s="659">
        <v>0</v>
      </c>
      <c r="M44" s="20" t="e">
        <f xml:space="preserve"> N13+IF(M37=0,M13*VLOOKUP(T13+U13,B58:C65,2,TRUE),0)+IF(M39=0,O13,0)</f>
        <v>#DIV/0!</v>
      </c>
      <c r="N44" s="525"/>
      <c r="P44" s="659">
        <v>0</v>
      </c>
      <c r="Q44" s="570"/>
    </row>
    <row r="45" spans="2:29" x14ac:dyDescent="0.25">
      <c r="B45" s="579" t="s">
        <v>70</v>
      </c>
      <c r="C45" s="598">
        <v>1.5</v>
      </c>
      <c r="D45" s="791">
        <v>799</v>
      </c>
      <c r="I45" s="858" t="s">
        <v>818</v>
      </c>
      <c r="J45" s="659"/>
      <c r="M45" s="20" t="e">
        <f>T13+IF(M38=0,S13,0)+IF(M40=0,U13,0)</f>
        <v>#DIV/0!</v>
      </c>
      <c r="N45" s="525"/>
      <c r="P45" s="659"/>
      <c r="Q45" s="570"/>
    </row>
    <row r="46" spans="2:29" ht="15.75" thickBot="1" x14ac:dyDescent="0.3">
      <c r="B46" s="545" t="s">
        <v>71</v>
      </c>
      <c r="C46" s="710">
        <v>2.1</v>
      </c>
      <c r="D46" s="793" t="s">
        <v>109</v>
      </c>
      <c r="I46" s="864" t="s">
        <v>913</v>
      </c>
      <c r="J46" s="659"/>
      <c r="M46" s="20">
        <f>IF(M37=0,0,M13*VLOOKUP(T13+U13,B58:C65,2,TRUE))</f>
        <v>0</v>
      </c>
      <c r="N46" s="865" t="s">
        <v>936</v>
      </c>
      <c r="P46" s="659"/>
      <c r="Q46" s="570"/>
    </row>
    <row r="47" spans="2:29" x14ac:dyDescent="0.25">
      <c r="B47" s="18"/>
      <c r="C47" s="21"/>
      <c r="D47" s="258"/>
      <c r="I47" s="866" t="s">
        <v>914</v>
      </c>
      <c r="J47" s="659"/>
      <c r="M47" s="20">
        <f>IF(M38=0,0,S13*VLOOKUP(N13+O13,B58:C65,2,TRUE))</f>
        <v>0</v>
      </c>
      <c r="N47" s="867" t="s">
        <v>937</v>
      </c>
      <c r="P47" s="659"/>
      <c r="Q47" s="570"/>
    </row>
    <row r="48" spans="2:29" ht="15.75" thickBot="1" x14ac:dyDescent="0.3">
      <c r="I48" s="864" t="s">
        <v>107</v>
      </c>
      <c r="J48" s="659">
        <v>0</v>
      </c>
      <c r="M48" s="20">
        <f>ROUND(IF(M39=0,0,O13)*M53,0)</f>
        <v>0</v>
      </c>
      <c r="P48" s="659">
        <v>0</v>
      </c>
      <c r="Q48" s="570"/>
      <c r="U48" s="21"/>
      <c r="V48" s="22"/>
      <c r="W48" s="23"/>
      <c r="X48" s="23"/>
      <c r="Y48" s="22"/>
      <c r="Z48" s="23"/>
      <c r="AA48" s="23"/>
      <c r="AB48" s="22"/>
      <c r="AC48" s="23"/>
    </row>
    <row r="49" spans="2:29" ht="15.75" thickBot="1" x14ac:dyDescent="0.3">
      <c r="B49" s="683" t="s">
        <v>1214</v>
      </c>
      <c r="C49" s="526" t="s">
        <v>1218</v>
      </c>
      <c r="I49" s="866" t="s">
        <v>1261</v>
      </c>
      <c r="J49" s="659"/>
      <c r="M49" s="20">
        <f>ROUND(IF(M40=0,0,U13)*M53,0)</f>
        <v>0</v>
      </c>
      <c r="P49" s="659"/>
      <c r="Q49" s="570"/>
      <c r="U49" s="21"/>
      <c r="V49" s="22"/>
      <c r="W49" s="23"/>
      <c r="X49" s="23"/>
      <c r="Y49" s="22"/>
      <c r="Z49" s="23"/>
      <c r="AA49" s="23"/>
      <c r="AB49" s="22"/>
      <c r="AC49" s="23"/>
    </row>
    <row r="50" spans="2:29" ht="15.75" thickBot="1" x14ac:dyDescent="0.3">
      <c r="B50" s="579" t="s">
        <v>69</v>
      </c>
      <c r="C50" s="598">
        <v>1</v>
      </c>
      <c r="I50" s="19" t="s">
        <v>108</v>
      </c>
      <c r="J50" s="671" t="e">
        <f>ROUND((M13+P13)*J54,0)</f>
        <v>#DIV/0!</v>
      </c>
      <c r="K50" s="248"/>
      <c r="L50" s="248"/>
      <c r="M50" s="792"/>
      <c r="N50" s="248"/>
      <c r="O50" s="248"/>
      <c r="P50" s="671" t="e">
        <f>ROUND((S13+J13)*P54,0)</f>
        <v>#DIV/0!</v>
      </c>
      <c r="Q50" s="666"/>
      <c r="V50" s="18"/>
      <c r="W50" s="18"/>
      <c r="X50" s="18"/>
      <c r="Y50" s="18"/>
      <c r="Z50" s="18"/>
      <c r="AA50" s="18"/>
      <c r="AB50" s="18"/>
      <c r="AC50" s="18"/>
    </row>
    <row r="51" spans="2:29" ht="16.5" thickBot="1" x14ac:dyDescent="0.3">
      <c r="B51" s="579">
        <v>1</v>
      </c>
      <c r="C51" s="598">
        <v>1.2</v>
      </c>
      <c r="I51" s="673" t="s">
        <v>45</v>
      </c>
      <c r="J51" s="868" t="e">
        <f>ROUND(J42/J31+J50/J41,0)</f>
        <v>#DIV/0!</v>
      </c>
      <c r="K51" s="795" t="e">
        <f>IF(J51&lt;=$O$27,"OK","LOS-F")</f>
        <v>#DIV/0!</v>
      </c>
      <c r="L51" s="796"/>
      <c r="M51" s="797" t="e">
        <f>MAX(M42/M31,M43/M32)+MAX(M44/M35,M45/M36,IF(M37=0,0,M46/M37),IF(M38=0,0,M47/M38),IF(M39=0,0,M48/M39),IF(M40=0,0,M49/M40))</f>
        <v>#DIV/0!</v>
      </c>
      <c r="N51" s="795" t="e">
        <f>IF(M51&lt;=$O$27,"OK","LOS-F")</f>
        <v>#DIV/0!</v>
      </c>
      <c r="O51" s="796"/>
      <c r="P51" s="797" t="e">
        <f>ROUND(P43/P32+P50/P41,0)</f>
        <v>#DIV/0!</v>
      </c>
      <c r="Q51" s="798" t="e">
        <f>IF(P51&lt;=$O$27,"OK","LOS-F")</f>
        <v>#DIV/0!</v>
      </c>
      <c r="V51" s="18"/>
      <c r="W51" s="18"/>
      <c r="X51" s="18"/>
      <c r="Y51" s="18"/>
      <c r="Z51" s="18"/>
      <c r="AA51" s="18"/>
      <c r="AB51" s="18"/>
      <c r="AC51" s="18"/>
    </row>
    <row r="52" spans="2:29" ht="15.75" x14ac:dyDescent="0.25">
      <c r="B52" s="579">
        <v>2</v>
      </c>
      <c r="C52" s="598">
        <v>1.1000000000000001</v>
      </c>
      <c r="I52" s="560" t="s">
        <v>1262</v>
      </c>
      <c r="J52" s="799">
        <v>1</v>
      </c>
      <c r="K52" s="713"/>
      <c r="L52" s="713"/>
      <c r="M52" s="713">
        <f>IF($D$10="N",1,VLOOKUP(D10,B43:C46,2,TRUE))</f>
        <v>1</v>
      </c>
      <c r="N52" s="713"/>
      <c r="O52" s="713"/>
      <c r="P52" s="799">
        <v>1</v>
      </c>
      <c r="Q52" s="561"/>
      <c r="U52" s="802"/>
      <c r="V52" s="24"/>
      <c r="W52" s="24"/>
      <c r="X52" s="24"/>
      <c r="Y52" s="24"/>
      <c r="Z52" s="24"/>
      <c r="AA52" s="24"/>
      <c r="AB52" s="24"/>
      <c r="AC52" s="24"/>
    </row>
    <row r="53" spans="2:29" ht="16.5" thickBot="1" x14ac:dyDescent="0.3">
      <c r="B53" s="545">
        <v>3</v>
      </c>
      <c r="C53" s="710">
        <v>1.05</v>
      </c>
      <c r="I53" s="17" t="s">
        <v>1263</v>
      </c>
      <c r="J53" s="725">
        <v>1</v>
      </c>
      <c r="K53" s="308"/>
      <c r="L53" s="308"/>
      <c r="M53" s="308">
        <f>IF($D$10&lt;&gt; "N",VLOOKUP(D10,B43:C46,2,TRUE),1)*1.18</f>
        <v>1.18</v>
      </c>
      <c r="N53" s="308"/>
      <c r="O53" s="308"/>
      <c r="P53" s="725">
        <v>1</v>
      </c>
      <c r="Q53" s="570"/>
      <c r="U53" s="802"/>
      <c r="V53" s="24"/>
      <c r="W53" s="18"/>
      <c r="X53" s="18"/>
      <c r="Y53" s="24"/>
      <c r="Z53" s="18"/>
      <c r="AA53" s="18"/>
      <c r="AB53" s="24"/>
      <c r="AC53" s="18"/>
    </row>
    <row r="54" spans="2:29" ht="16.5" thickBot="1" x14ac:dyDescent="0.3">
      <c r="I54" s="19" t="s">
        <v>1264</v>
      </c>
      <c r="J54" s="718">
        <f>1/IF($D$14&lt;35,0.8,IF($D$14&lt;80,0.85,0.95))*J52</f>
        <v>1.25</v>
      </c>
      <c r="K54" s="718"/>
      <c r="L54" s="718"/>
      <c r="M54" s="800"/>
      <c r="N54" s="718"/>
      <c r="O54" s="718"/>
      <c r="P54" s="718">
        <f>J54</f>
        <v>1.25</v>
      </c>
      <c r="Q54" s="666"/>
      <c r="S54" s="682"/>
      <c r="U54" s="802"/>
      <c r="V54" s="18"/>
      <c r="W54" s="18"/>
      <c r="X54" s="18"/>
      <c r="Y54" s="24"/>
      <c r="Z54" s="18"/>
      <c r="AA54" s="18"/>
      <c r="AB54" s="18"/>
      <c r="AC54" s="18"/>
    </row>
    <row r="55" spans="2:29" ht="16.5" thickBot="1" x14ac:dyDescent="0.3">
      <c r="C55" t="s">
        <v>819</v>
      </c>
      <c r="I55" s="17" t="s">
        <v>820</v>
      </c>
      <c r="J55" s="309" t="e">
        <f>J42/(J31*$O$27)*IF(J31=2,1/0.952,IF(J31=3,1/0.908,1))</f>
        <v>#DIV/0!</v>
      </c>
      <c r="K55" s="18"/>
      <c r="L55" s="18"/>
      <c r="M55" s="309" t="e">
        <f>M42/(M31*$O$27)*IF(M31=2,1/0.952,IF(M31=3,1/0.908,1))</f>
        <v>#DIV/0!</v>
      </c>
      <c r="N55" s="18"/>
      <c r="O55" s="18"/>
      <c r="P55" s="659">
        <v>0</v>
      </c>
      <c r="Q55" s="570"/>
      <c r="U55" s="802"/>
      <c r="V55" s="18"/>
      <c r="W55" s="18"/>
      <c r="X55" s="18"/>
      <c r="Y55" s="24"/>
      <c r="Z55" s="18"/>
      <c r="AA55" s="18"/>
      <c r="AB55" s="18"/>
      <c r="AC55" s="18"/>
    </row>
    <row r="56" spans="2:29" ht="16.5" thickBot="1" x14ac:dyDescent="0.3">
      <c r="B56" s="1677" t="s">
        <v>1259</v>
      </c>
      <c r="C56" s="1679"/>
      <c r="I56" s="17" t="s">
        <v>821</v>
      </c>
      <c r="J56" s="659"/>
      <c r="K56" s="18"/>
      <c r="L56" s="18"/>
      <c r="M56" s="309" t="e">
        <f>M43/(M32*O27)*IF(M31=2,1/0.952,IF(M31=3,1/0.908,1))</f>
        <v>#DIV/0!</v>
      </c>
      <c r="N56" s="18"/>
      <c r="O56" s="18"/>
      <c r="P56" s="712" t="e">
        <f>P43/(P32*O27)*IF(P32=2,1/0.952,IF(P32=3,1/0.908,1))</f>
        <v>#DIV/0!</v>
      </c>
      <c r="Q56" s="570"/>
      <c r="U56" s="802"/>
      <c r="V56" s="24"/>
      <c r="W56" s="18"/>
      <c r="X56" s="18"/>
      <c r="Y56" s="24"/>
      <c r="Z56" s="18"/>
      <c r="AA56" s="18"/>
      <c r="AB56" s="24"/>
      <c r="AC56" s="18"/>
    </row>
    <row r="57" spans="2:29" ht="23.25" customHeight="1" thickBot="1" x14ac:dyDescent="0.3">
      <c r="B57" s="869" t="s">
        <v>916</v>
      </c>
      <c r="C57" s="870" t="s">
        <v>915</v>
      </c>
      <c r="I57" s="859" t="s">
        <v>822</v>
      </c>
      <c r="J57" s="659">
        <v>0</v>
      </c>
      <c r="K57" s="18"/>
      <c r="L57" s="18"/>
      <c r="M57" s="309" t="e">
        <f>M44/(M35*O27)*IF(M35=2,1/0.952,IF(M35=3,1/0.908,1))</f>
        <v>#DIV/0!</v>
      </c>
      <c r="N57" s="18"/>
      <c r="O57" s="18"/>
      <c r="P57" s="715">
        <v>0</v>
      </c>
      <c r="Q57" s="570"/>
      <c r="U57" s="774"/>
      <c r="V57" s="32"/>
      <c r="W57" s="32"/>
      <c r="X57" s="32"/>
      <c r="Y57" s="32"/>
      <c r="Z57" s="32"/>
      <c r="AA57" s="25"/>
      <c r="AB57" s="25"/>
      <c r="AC57" s="25"/>
    </row>
    <row r="58" spans="2:29" x14ac:dyDescent="0.25">
      <c r="B58" s="41">
        <v>0</v>
      </c>
      <c r="C58" s="578">
        <v>1.1000000000000001</v>
      </c>
      <c r="I58" s="858" t="s">
        <v>823</v>
      </c>
      <c r="J58" s="659"/>
      <c r="K58" s="18"/>
      <c r="L58" s="18"/>
      <c r="M58" s="309" t="e">
        <f>M45/(M36*O27)*IF(M36=2,1/0.952,IF(M36=3,1/0.908,1))</f>
        <v>#DIV/0!</v>
      </c>
      <c r="N58" s="18"/>
      <c r="O58" s="18"/>
      <c r="P58" s="715"/>
      <c r="Q58" s="570"/>
      <c r="U58" s="803"/>
      <c r="V58" s="26"/>
      <c r="W58" s="26"/>
      <c r="X58" s="26"/>
      <c r="Y58" s="25"/>
      <c r="Z58" s="26"/>
      <c r="AA58" s="26"/>
      <c r="AB58" s="26"/>
      <c r="AC58" s="26"/>
    </row>
    <row r="59" spans="2:29" x14ac:dyDescent="0.25">
      <c r="B59" s="212">
        <v>200</v>
      </c>
      <c r="C59" s="578">
        <v>2</v>
      </c>
      <c r="H59" s="570"/>
      <c r="I59" s="335" t="s">
        <v>824</v>
      </c>
      <c r="J59" s="659"/>
      <c r="K59" s="18"/>
      <c r="L59" s="18"/>
      <c r="M59" s="309">
        <f>IF(M37=0,0,M46/(M37*O27)*IF(M37=2,1/0.885,IF(M37=3,1/0.8,1)))</f>
        <v>0</v>
      </c>
      <c r="N59" s="18"/>
      <c r="O59" s="18"/>
      <c r="P59" s="715"/>
      <c r="Q59" s="570"/>
      <c r="S59" s="275"/>
      <c r="U59" s="803"/>
      <c r="V59" s="26"/>
      <c r="W59" s="26"/>
      <c r="X59" s="26"/>
      <c r="Y59" s="25"/>
      <c r="Z59" s="26"/>
      <c r="AA59" s="26"/>
      <c r="AB59" s="26"/>
      <c r="AC59" s="26"/>
    </row>
    <row r="60" spans="2:29" x14ac:dyDescent="0.25">
      <c r="B60" s="212">
        <v>400</v>
      </c>
      <c r="C60" s="578">
        <v>2.5</v>
      </c>
      <c r="H60" s="570"/>
      <c r="I60" s="340" t="s">
        <v>825</v>
      </c>
      <c r="J60" s="659"/>
      <c r="K60" s="18"/>
      <c r="L60" s="18"/>
      <c r="M60" s="309">
        <f>IF(M38=0,0,M47/(M38*O27)*IF(M38=2,1/0.885,IF(M38=3,1/0.8,1)))</f>
        <v>0</v>
      </c>
      <c r="N60" s="18"/>
      <c r="O60" s="18"/>
      <c r="P60" s="715"/>
      <c r="Q60" s="570"/>
      <c r="S60" s="275"/>
      <c r="U60" s="803"/>
      <c r="V60" s="26"/>
      <c r="W60" s="26"/>
      <c r="X60" s="26"/>
      <c r="Y60" s="25"/>
      <c r="Z60" s="26"/>
      <c r="AA60" s="26"/>
      <c r="AB60" s="26"/>
      <c r="AC60" s="26"/>
    </row>
    <row r="61" spans="2:29" x14ac:dyDescent="0.25">
      <c r="B61" s="212">
        <v>600</v>
      </c>
      <c r="C61" s="578">
        <v>3</v>
      </c>
      <c r="H61" s="570"/>
      <c r="I61" s="335" t="s">
        <v>826</v>
      </c>
      <c r="J61" s="659">
        <v>0</v>
      </c>
      <c r="K61" s="18"/>
      <c r="L61" s="18"/>
      <c r="M61" s="309">
        <f>IF(M39=0,0,M48/(M39*O27))*IF(M39=2,1/0.885,IF(M39=3,1/0.8,1))</f>
        <v>0</v>
      </c>
      <c r="N61" s="18"/>
      <c r="O61" s="18"/>
      <c r="P61" s="715">
        <v>0</v>
      </c>
      <c r="Q61" s="570"/>
      <c r="S61" s="275"/>
      <c r="U61" s="803"/>
      <c r="V61" s="26"/>
      <c r="W61" s="26"/>
      <c r="X61" s="26"/>
      <c r="Y61" s="25"/>
      <c r="Z61" s="26"/>
      <c r="AA61" s="26"/>
      <c r="AB61" s="26"/>
      <c r="AC61" s="26"/>
    </row>
    <row r="62" spans="2:29" x14ac:dyDescent="0.25">
      <c r="B62" s="212">
        <v>700</v>
      </c>
      <c r="C62" s="578">
        <v>3.5</v>
      </c>
      <c r="H62" s="570"/>
      <c r="I62" s="340" t="s">
        <v>827</v>
      </c>
      <c r="J62" s="659"/>
      <c r="K62" s="18"/>
      <c r="L62" s="18"/>
      <c r="M62" s="309">
        <f>IF(M40=0,0,M49/(M40*O27))*IF(M40=2,1/0.885,IF(M40=3,1/0.8,1))</f>
        <v>0</v>
      </c>
      <c r="N62" s="18"/>
      <c r="O62" s="18"/>
      <c r="P62" s="715"/>
      <c r="Q62" s="570"/>
      <c r="U62" s="803"/>
      <c r="V62" s="25"/>
      <c r="W62" s="25"/>
      <c r="X62" s="25"/>
      <c r="Y62" s="25"/>
      <c r="Z62" s="25"/>
      <c r="AA62" s="25"/>
      <c r="AB62" s="25"/>
      <c r="AC62" s="25"/>
    </row>
    <row r="63" spans="2:29" ht="15.75" thickBot="1" x14ac:dyDescent="0.3">
      <c r="B63" s="212">
        <v>800</v>
      </c>
      <c r="C63" s="578">
        <v>4</v>
      </c>
      <c r="I63" s="19" t="s">
        <v>1265</v>
      </c>
      <c r="J63" s="804" t="e">
        <f>J50/(J41*$O$27)*IF(J41=2,1/0.885,IF(J41=3,1/0.8,1))</f>
        <v>#DIV/0!</v>
      </c>
      <c r="K63" s="663"/>
      <c r="L63" s="663"/>
      <c r="M63" s="805"/>
      <c r="N63" s="663"/>
      <c r="O63" s="663"/>
      <c r="P63" s="717" t="e">
        <f>P50/(P41*O27)*IF(P41=2,1/0.885,IF(P41=3,1/0.8,1))</f>
        <v>#DIV/0!</v>
      </c>
      <c r="Q63" s="666"/>
      <c r="R63" s="23"/>
    </row>
    <row r="64" spans="2:29" ht="15.75" thickBot="1" x14ac:dyDescent="0.3">
      <c r="B64" s="212">
        <v>900</v>
      </c>
      <c r="C64" s="578">
        <v>4.5</v>
      </c>
      <c r="I64" s="806" t="s">
        <v>1266</v>
      </c>
      <c r="J64" s="807" t="e">
        <f>IF(J55+J63&gt;0.85,"OVERCAP","OK")</f>
        <v>#DIV/0!</v>
      </c>
      <c r="K64" s="808"/>
      <c r="L64" s="808"/>
      <c r="M64" s="807" t="e">
        <f>IF(MAX(M55,M56,M60,M59)+MAX(M57,M58,M61,M62)&gt;0.85,"OVERCAP","OK")</f>
        <v>#DIV/0!</v>
      </c>
      <c r="N64" s="808"/>
      <c r="O64" s="808"/>
      <c r="P64" s="807" t="e">
        <f>IF(P56+P63&gt;0.85,"OVERCAP","OK")</f>
        <v>#DIV/0!</v>
      </c>
      <c r="Q64" s="809"/>
      <c r="R64" s="18"/>
    </row>
    <row r="65" spans="2:29" ht="16.5" thickBot="1" x14ac:dyDescent="0.3">
      <c r="B65" s="219">
        <v>1000</v>
      </c>
      <c r="C65" s="679">
        <v>5</v>
      </c>
      <c r="I65" s="871" t="s">
        <v>34</v>
      </c>
      <c r="J65" s="872"/>
      <c r="K65" s="872"/>
      <c r="L65" s="872"/>
      <c r="M65" s="872"/>
      <c r="N65" s="872"/>
      <c r="O65" s="872"/>
      <c r="P65" s="872"/>
      <c r="Q65" s="873"/>
      <c r="R65" s="18"/>
    </row>
    <row r="66" spans="2:29" ht="15.75" x14ac:dyDescent="0.25">
      <c r="I66" s="874" t="s">
        <v>110</v>
      </c>
      <c r="J66" s="810" t="e">
        <f>J55+J63</f>
        <v>#DIV/0!</v>
      </c>
      <c r="K66" s="875"/>
      <c r="L66" s="875"/>
      <c r="M66" s="810" t="e">
        <f>MAX(M55,M56)+MAX(M57:M62)</f>
        <v>#DIV/0!</v>
      </c>
      <c r="N66" s="875"/>
      <c r="O66" s="875"/>
      <c r="P66" s="810" t="e">
        <f>P56+P63</f>
        <v>#DIV/0!</v>
      </c>
      <c r="Q66" s="876"/>
      <c r="R66" s="24"/>
    </row>
    <row r="67" spans="2:29" ht="15.75" thickBot="1" x14ac:dyDescent="0.3">
      <c r="F67" s="276"/>
      <c r="G67" s="14"/>
      <c r="I67" s="17" t="s">
        <v>35</v>
      </c>
      <c r="J67" s="18" t="e">
        <f>IF(J66&gt;0.85-8.5/$D$16,$D$16,MAX($D$15,8.5/(0.85-J66)))</f>
        <v>#DIV/0!</v>
      </c>
      <c r="K67" s="18"/>
      <c r="L67" s="18"/>
      <c r="M67" s="20" t="e">
        <f>IF(M66&gt;0.85-8.5/$D$16,$D$16,MAX($D$15,8.5/(0.85-M66)))</f>
        <v>#DIV/0!</v>
      </c>
      <c r="N67" s="18"/>
      <c r="O67" s="18"/>
      <c r="P67" s="20" t="e">
        <f>IF(P66&gt;0.85-8.5/$D$16,$D$16,MAX($D$15,8.5/(0.85-P66)))</f>
        <v>#DIV/0!</v>
      </c>
      <c r="Q67" s="578"/>
      <c r="R67" s="18"/>
    </row>
    <row r="68" spans="2:29" ht="15.75" hidden="1" thickBot="1" x14ac:dyDescent="0.3">
      <c r="F68" s="823" t="s">
        <v>120</v>
      </c>
      <c r="G68" s="824"/>
      <c r="I68" s="19" t="s">
        <v>112</v>
      </c>
      <c r="J68" s="663" t="e">
        <f>IF(M67=0,$D$15,MIN(ROUND(MAX(J67,M67,P67)/5,0)*5,$D$16))</f>
        <v>#DIV/0!</v>
      </c>
      <c r="K68" s="663"/>
      <c r="L68" s="663"/>
      <c r="M68" s="663" t="e">
        <f>J68</f>
        <v>#DIV/0!</v>
      </c>
      <c r="N68" s="663"/>
      <c r="O68" s="663"/>
      <c r="P68" s="663" t="e">
        <f>J68</f>
        <v>#DIV/0!</v>
      </c>
      <c r="Q68" s="679"/>
      <c r="R68" s="18"/>
    </row>
    <row r="69" spans="2:29" ht="19.5" thickBot="1" x14ac:dyDescent="0.35">
      <c r="I69" s="877" t="s">
        <v>1093</v>
      </c>
      <c r="J69" s="6"/>
      <c r="K69" s="690"/>
      <c r="L69" s="690"/>
      <c r="M69" s="6"/>
      <c r="N69" s="690"/>
      <c r="O69" s="690"/>
      <c r="P69" s="6"/>
      <c r="Q69" s="526"/>
      <c r="R69" s="18"/>
    </row>
    <row r="70" spans="2:29" ht="16.5" thickBot="1" x14ac:dyDescent="0.3">
      <c r="I70" s="878" t="s">
        <v>115</v>
      </c>
      <c r="J70" s="10"/>
      <c r="K70" s="658"/>
      <c r="L70" s="658"/>
      <c r="M70" s="10"/>
      <c r="N70" s="658"/>
      <c r="O70" s="658"/>
      <c r="P70" s="10"/>
      <c r="Q70" s="561"/>
      <c r="R70" s="18"/>
      <c r="S70" s="275"/>
    </row>
    <row r="71" spans="2:29" ht="15.75" x14ac:dyDescent="0.25">
      <c r="F71" s="879" t="s">
        <v>1137</v>
      </c>
      <c r="G71" s="880"/>
      <c r="I71" s="818" t="s">
        <v>117</v>
      </c>
      <c r="J71" s="881">
        <f>J69-J70-10</f>
        <v>-10</v>
      </c>
      <c r="K71" s="18"/>
      <c r="L71" s="18"/>
      <c r="M71" s="819"/>
      <c r="N71" s="18"/>
      <c r="O71" s="18"/>
      <c r="P71" s="881">
        <f>P69-P70-10</f>
        <v>-10</v>
      </c>
      <c r="Q71" s="570"/>
      <c r="R71" s="25"/>
      <c r="S71" s="399"/>
    </row>
    <row r="72" spans="2:29" ht="16.5" thickBot="1" x14ac:dyDescent="0.3">
      <c r="F72" s="816" t="s">
        <v>116</v>
      </c>
      <c r="G72" s="817"/>
      <c r="I72" s="691" t="s">
        <v>463</v>
      </c>
      <c r="J72" s="659">
        <v>0</v>
      </c>
      <c r="K72" s="18"/>
      <c r="L72" s="18"/>
      <c r="M72" s="9"/>
      <c r="N72" s="18"/>
      <c r="O72" s="18"/>
      <c r="P72" s="659">
        <v>0</v>
      </c>
      <c r="Q72" s="570"/>
      <c r="R72" s="882"/>
    </row>
    <row r="73" spans="2:29" ht="16.5" thickBot="1" x14ac:dyDescent="0.3">
      <c r="I73" s="883" t="s">
        <v>464</v>
      </c>
      <c r="J73" s="792"/>
      <c r="K73" s="248"/>
      <c r="L73" s="248"/>
      <c r="M73" s="698">
        <f>M72</f>
        <v>0</v>
      </c>
      <c r="N73" s="248"/>
      <c r="O73" s="248"/>
      <c r="P73" s="792"/>
      <c r="Q73" s="666"/>
      <c r="R73" s="882"/>
    </row>
    <row r="74" spans="2:29" ht="16.5" thickBot="1" x14ac:dyDescent="0.3">
      <c r="I74" s="825" t="s">
        <v>115</v>
      </c>
      <c r="J74" s="826" t="e">
        <f>$D$18*J70+(1-$D$18)*(J69-10)*J55/(J55+J63)</f>
        <v>#DIV/0!</v>
      </c>
      <c r="K74" s="827"/>
      <c r="L74" s="827"/>
      <c r="M74" s="826" t="e">
        <f>D18*M70+(1-D18)*(M69-10)*MAX(M55,M56)/M66</f>
        <v>#DIV/0!</v>
      </c>
      <c r="N74" s="827"/>
      <c r="O74" s="827"/>
      <c r="P74" s="826" t="e">
        <f>$D$18*P70+(1-$D$18)*(P69-10)*P56/(P56+P63)</f>
        <v>#DIV/0!</v>
      </c>
      <c r="Q74" s="828"/>
      <c r="R74" s="25"/>
    </row>
    <row r="75" spans="2:29" ht="16.5" thickBot="1" x14ac:dyDescent="0.3">
      <c r="F75" s="1723" t="s">
        <v>121</v>
      </c>
      <c r="G75" s="1724"/>
      <c r="I75" s="829" t="s">
        <v>117</v>
      </c>
      <c r="J75" s="830" t="e">
        <f>J69-J74-10</f>
        <v>#DIV/0!</v>
      </c>
      <c r="K75" s="831"/>
      <c r="L75" s="831"/>
      <c r="M75" s="832"/>
      <c r="N75" s="831"/>
      <c r="O75" s="831"/>
      <c r="P75" s="830" t="e">
        <f>P69-P74-10</f>
        <v>#DIV/0!</v>
      </c>
      <c r="Q75" s="833"/>
      <c r="U75" s="275"/>
      <c r="W75" s="14"/>
      <c r="Z75" s="14"/>
      <c r="AC75" s="14"/>
    </row>
    <row r="76" spans="2:29" ht="15.75" x14ac:dyDescent="0.25">
      <c r="I76" s="829" t="s">
        <v>828</v>
      </c>
      <c r="J76" s="834"/>
      <c r="K76" s="831"/>
      <c r="L76" s="831"/>
      <c r="M76" s="830" t="e">
        <f>M69-10-M74</f>
        <v>#DIV/0!</v>
      </c>
      <c r="N76" s="831"/>
      <c r="O76" s="831"/>
      <c r="P76" s="834"/>
      <c r="Q76" s="833"/>
      <c r="S76" s="399"/>
      <c r="W76" s="14"/>
      <c r="Z76" s="14"/>
      <c r="AC76" s="14"/>
    </row>
    <row r="77" spans="2:29" ht="16.5" thickBot="1" x14ac:dyDescent="0.3">
      <c r="I77" s="829" t="s">
        <v>829</v>
      </c>
      <c r="J77" s="792"/>
      <c r="K77" s="884"/>
      <c r="L77" s="884"/>
      <c r="M77" s="885" t="e">
        <f>M76</f>
        <v>#DIV/0!</v>
      </c>
      <c r="N77" s="884"/>
      <c r="O77" s="884"/>
      <c r="P77" s="792"/>
      <c r="Q77" s="835"/>
      <c r="S77" s="399"/>
      <c r="W77" s="14"/>
      <c r="Z77" s="14"/>
      <c r="AC77" s="14"/>
    </row>
    <row r="78" spans="2:29" x14ac:dyDescent="0.25">
      <c r="I78" s="714" t="s">
        <v>1095</v>
      </c>
      <c r="J78" s="837" t="e">
        <f>MAX(0,(1-VLOOKUP($D$19,$D$81:$E$86,2,FALSE)*J74/$J$69)/(1-J74/$J$69))</f>
        <v>#N/A</v>
      </c>
      <c r="K78" s="18"/>
      <c r="L78" s="18"/>
      <c r="M78" s="837" t="e">
        <f>MAX(0,(1-VLOOKUP($D$19,$D$81:$E$86,2,FALSE)*M74/$M$69)/(1-M74/$M$69))</f>
        <v>#N/A</v>
      </c>
      <c r="N78" s="18"/>
      <c r="O78" s="18"/>
      <c r="P78" s="837" t="e">
        <f>MAX(0,(1-VLOOKUP($D$19,$D$81:$E$86,2,FALSE)*P74/$P$69)/(1-P74/$P$69))</f>
        <v>#N/A</v>
      </c>
      <c r="Q78" s="570"/>
      <c r="W78" s="14"/>
      <c r="Z78" s="14"/>
      <c r="AC78" s="14"/>
    </row>
    <row r="79" spans="2:29" ht="15.75" thickBot="1" x14ac:dyDescent="0.3">
      <c r="I79" s="714" t="s">
        <v>122</v>
      </c>
      <c r="J79" s="18">
        <v>1</v>
      </c>
      <c r="M79" s="789">
        <v>1</v>
      </c>
      <c r="P79" s="308">
        <v>1</v>
      </c>
      <c r="Q79" s="570"/>
      <c r="S79" s="399"/>
    </row>
    <row r="80" spans="2:29" ht="15.75" thickBot="1" x14ac:dyDescent="0.3">
      <c r="D80" s="315" t="s">
        <v>946</v>
      </c>
      <c r="E80" s="316" t="s">
        <v>948</v>
      </c>
      <c r="I80" s="716" t="s">
        <v>123</v>
      </c>
      <c r="J80" s="792">
        <v>0</v>
      </c>
      <c r="K80" s="248"/>
      <c r="L80" s="248"/>
      <c r="M80" s="663">
        <v>1</v>
      </c>
      <c r="N80" s="248"/>
      <c r="O80" s="248"/>
      <c r="P80" s="792">
        <v>0</v>
      </c>
      <c r="Q80" s="666"/>
      <c r="S80" s="275"/>
    </row>
    <row r="81" spans="4:19" ht="16.5" thickBot="1" x14ac:dyDescent="0.3">
      <c r="D81" s="317">
        <v>1</v>
      </c>
      <c r="E81" s="318">
        <v>0.33</v>
      </c>
      <c r="J81" s="836">
        <f>J30</f>
        <v>0</v>
      </c>
      <c r="K81" s="776"/>
      <c r="M81" s="27"/>
      <c r="N81" s="27"/>
      <c r="O81" s="774"/>
      <c r="P81" s="836" t="str">
        <f>P30</f>
        <v>EB</v>
      </c>
      <c r="Q81" s="776"/>
    </row>
    <row r="82" spans="4:19" ht="15.75" thickBot="1" x14ac:dyDescent="0.3">
      <c r="D82" s="317">
        <v>2</v>
      </c>
      <c r="E82" s="318">
        <v>0.67</v>
      </c>
      <c r="I82" s="560" t="s">
        <v>830</v>
      </c>
      <c r="J82" s="712" t="e">
        <f>J55/(J74/J69)</f>
        <v>#DIV/0!</v>
      </c>
      <c r="K82" s="658">
        <f>K9</f>
        <v>0</v>
      </c>
      <c r="L82" s="658"/>
      <c r="M82" s="886" t="e">
        <f>M55/(M74/M69)</f>
        <v>#DIV/0!</v>
      </c>
      <c r="N82" s="658"/>
      <c r="O82" s="658"/>
      <c r="P82" s="887">
        <v>0</v>
      </c>
      <c r="Q82" s="561"/>
    </row>
    <row r="83" spans="4:19" x14ac:dyDescent="0.25">
      <c r="D83" s="317">
        <v>3</v>
      </c>
      <c r="E83" s="318">
        <v>1</v>
      </c>
      <c r="I83" s="17" t="s">
        <v>831</v>
      </c>
      <c r="J83" s="659"/>
      <c r="K83" s="18" t="str">
        <f>Q9</f>
        <v>EB</v>
      </c>
      <c r="L83" s="18"/>
      <c r="M83" s="837" t="e">
        <f>M56/(M74/M69)</f>
        <v>#DIV/0!</v>
      </c>
      <c r="N83" s="18"/>
      <c r="O83" s="18"/>
      <c r="P83" s="712" t="e">
        <f>P56/(P74/P69)</f>
        <v>#DIV/0!</v>
      </c>
      <c r="Q83" s="570"/>
      <c r="S83" s="399"/>
    </row>
    <row r="84" spans="4:19" x14ac:dyDescent="0.25">
      <c r="D84" s="317">
        <v>4</v>
      </c>
      <c r="E84" s="318">
        <v>1.33</v>
      </c>
      <c r="I84" s="859" t="s">
        <v>832</v>
      </c>
      <c r="J84" s="659">
        <v>0</v>
      </c>
      <c r="K84" s="18" t="str">
        <f>N9</f>
        <v>NB</v>
      </c>
      <c r="L84" s="18"/>
      <c r="M84" s="837" t="e">
        <f>M57/(M76/M69)</f>
        <v>#DIV/0!</v>
      </c>
      <c r="N84" s="18"/>
      <c r="O84" s="18"/>
      <c r="P84" s="715">
        <v>0</v>
      </c>
      <c r="Q84" s="570"/>
    </row>
    <row r="85" spans="4:19" x14ac:dyDescent="0.25">
      <c r="D85" s="317">
        <v>5</v>
      </c>
      <c r="E85" s="318">
        <v>1.67</v>
      </c>
      <c r="I85" s="858" t="s">
        <v>833</v>
      </c>
      <c r="J85" s="659"/>
      <c r="K85" s="18" t="str">
        <f>T9</f>
        <v>SB</v>
      </c>
      <c r="L85" s="18"/>
      <c r="M85" s="837" t="e">
        <f>M58/(M77/M69)</f>
        <v>#DIV/0!</v>
      </c>
      <c r="N85" s="888" t="e">
        <f>S13*1.05/($O$27*M77/M69)</f>
        <v>#DIV/0!</v>
      </c>
      <c r="O85" s="18"/>
      <c r="P85" s="715"/>
      <c r="Q85" s="570"/>
    </row>
    <row r="86" spans="4:19" ht="15.75" thickBot="1" x14ac:dyDescent="0.3">
      <c r="D86" s="330">
        <v>6</v>
      </c>
      <c r="E86" s="331">
        <v>2</v>
      </c>
      <c r="I86" s="864" t="s">
        <v>834</v>
      </c>
      <c r="J86" s="659"/>
      <c r="K86" s="18">
        <f>K9</f>
        <v>0</v>
      </c>
      <c r="L86" s="18"/>
      <c r="M86" s="837" t="e">
        <f>M59/(M76/M69)</f>
        <v>#DIV/0!</v>
      </c>
      <c r="N86" s="18"/>
      <c r="O86" s="18"/>
      <c r="P86" s="715"/>
      <c r="Q86" s="570"/>
    </row>
    <row r="87" spans="4:19" x14ac:dyDescent="0.25">
      <c r="I87" s="866" t="s">
        <v>835</v>
      </c>
      <c r="J87" s="659"/>
      <c r="K87" s="18" t="str">
        <f>Q9</f>
        <v>EB</v>
      </c>
      <c r="L87" s="18"/>
      <c r="M87" s="837" t="e">
        <f>M60/(M77/M69)</f>
        <v>#DIV/0!</v>
      </c>
      <c r="N87" s="18"/>
      <c r="O87" s="18"/>
      <c r="P87" s="715"/>
      <c r="Q87" s="570"/>
    </row>
    <row r="88" spans="4:19" x14ac:dyDescent="0.25">
      <c r="I88" s="864" t="s">
        <v>836</v>
      </c>
      <c r="J88" s="659">
        <v>0</v>
      </c>
      <c r="K88" s="18" t="str">
        <f>N9</f>
        <v>NB</v>
      </c>
      <c r="L88" s="18"/>
      <c r="M88" s="837" t="e">
        <f>M61/(M76/M69)</f>
        <v>#DIV/0!</v>
      </c>
      <c r="N88" s="18"/>
      <c r="O88" s="18"/>
      <c r="P88" s="715">
        <v>0</v>
      </c>
      <c r="Q88" s="570"/>
    </row>
    <row r="89" spans="4:19" x14ac:dyDescent="0.25">
      <c r="I89" s="866" t="s">
        <v>1096</v>
      </c>
      <c r="J89" s="659"/>
      <c r="K89" s="18" t="str">
        <f>T9</f>
        <v>SB</v>
      </c>
      <c r="L89" s="18"/>
      <c r="M89" s="837" t="e">
        <f>M62/(M77/M69)</f>
        <v>#DIV/0!</v>
      </c>
      <c r="N89" s="18"/>
      <c r="O89" s="18"/>
      <c r="P89" s="715"/>
      <c r="Q89" s="570"/>
    </row>
    <row r="90" spans="4:19" ht="15.75" thickBot="1" x14ac:dyDescent="0.3">
      <c r="I90" s="19" t="s">
        <v>1094</v>
      </c>
      <c r="J90" s="717" t="e">
        <f>J63/(J75/J69)</f>
        <v>#DIV/0!</v>
      </c>
      <c r="K90" s="663"/>
      <c r="L90" s="663"/>
      <c r="M90" s="805"/>
      <c r="N90" s="663"/>
      <c r="O90" s="663"/>
      <c r="P90" s="717" t="e">
        <f>P63/(P75/P69)</f>
        <v>#DIV/0!</v>
      </c>
      <c r="Q90" s="666"/>
    </row>
    <row r="91" spans="4:19" ht="15.75" thickBot="1" x14ac:dyDescent="0.3">
      <c r="I91" s="560" t="s">
        <v>131</v>
      </c>
      <c r="J91" s="713" t="e">
        <f>J78*0.5*J69*(1-J74/J69)^2/(1-MIN(1,J82)*J74/J69)+225*(J82-1+SQRT((J82-1)^2+16*J82/(J42/J82)))</f>
        <v>#N/A</v>
      </c>
      <c r="K91" s="713"/>
      <c r="L91" s="713"/>
      <c r="M91" s="713" t="e">
        <f>M78*0.5*$M$69*(1-M74/$M$69)^2/(1-MIN(1,M82)*M74/M69)+225*(M82-1+SQRT((M82-1)^2+16*M82/(M42/M82)))</f>
        <v>#N/A</v>
      </c>
      <c r="N91" s="713"/>
      <c r="O91" s="713"/>
      <c r="P91" s="799">
        <v>0</v>
      </c>
      <c r="Q91" s="561"/>
    </row>
    <row r="92" spans="4:19" x14ac:dyDescent="0.25">
      <c r="I92" s="17" t="s">
        <v>132</v>
      </c>
      <c r="J92" s="725"/>
      <c r="K92" s="308"/>
      <c r="L92" s="308"/>
      <c r="M92" s="308" t="e">
        <f>M78*0.5*$M$69*(1-M74/$M$69)^2/(1-MIN(1,M83)*M74/M69)+225*(M83-1+SQRT((M83-1)^2+16*M83/(M43/M83)))</f>
        <v>#N/A</v>
      </c>
      <c r="N92" s="308"/>
      <c r="O92" s="308"/>
      <c r="P92" s="713" t="e">
        <f>P79*0.5*P69*(1-P74/P69)^2/(1-MIN(1,P83)*P74/P69)+225*(P83-1+SQRT((P83-1)^2+16*P83/(P43/P83)))</f>
        <v>#DIV/0!</v>
      </c>
      <c r="Q92" s="570"/>
    </row>
    <row r="93" spans="4:19" x14ac:dyDescent="0.25">
      <c r="I93" s="859" t="s">
        <v>837</v>
      </c>
      <c r="J93" s="725">
        <v>0</v>
      </c>
      <c r="K93" s="308"/>
      <c r="L93" s="308"/>
      <c r="M93" s="308" t="e">
        <f>0.5*M69*(1-M76/M69)^2/(1-MIN(1,M84)*M76/M69)+225*(M84-1+SQRT((M84-1)^2+16*M84/(M44/M84)))</f>
        <v>#DIV/0!</v>
      </c>
      <c r="N93" s="308"/>
      <c r="O93" s="308"/>
      <c r="P93" s="725">
        <v>0</v>
      </c>
      <c r="Q93" s="570"/>
    </row>
    <row r="94" spans="4:19" x14ac:dyDescent="0.25">
      <c r="I94" s="858" t="s">
        <v>838</v>
      </c>
      <c r="J94" s="725"/>
      <c r="K94" s="308"/>
      <c r="L94" s="308"/>
      <c r="M94" s="308" t="e">
        <f>0.5*M69*(1-M77/M69)^2/(1-MIN(1,M85)*M77/M69)+225*(M85-1+SQRT((M85-1)^2+16*M85/(M45/M85)))</f>
        <v>#DIV/0!</v>
      </c>
      <c r="N94" s="308"/>
      <c r="O94" s="308"/>
      <c r="P94" s="725"/>
      <c r="Q94" s="570"/>
    </row>
    <row r="95" spans="4:19" x14ac:dyDescent="0.25">
      <c r="I95" s="864" t="s">
        <v>839</v>
      </c>
      <c r="J95" s="725"/>
      <c r="K95" s="308"/>
      <c r="L95" s="308"/>
      <c r="M95" s="308" t="e">
        <f>IF(M37=0,0,0.5*M69*(1-M76/M69)^2/(1-MIN(1,M86)*M76/M69))+225*(M86-1+SQRT((M86-1)^2+16*M86/(M46/M86)))</f>
        <v>#DIV/0!</v>
      </c>
      <c r="N95" s="308"/>
      <c r="O95" s="308"/>
      <c r="P95" s="725"/>
      <c r="Q95" s="570"/>
    </row>
    <row r="96" spans="4:19" x14ac:dyDescent="0.25">
      <c r="I96" s="866" t="s">
        <v>840</v>
      </c>
      <c r="J96" s="725"/>
      <c r="K96" s="308"/>
      <c r="L96" s="308"/>
      <c r="M96" s="308" t="e">
        <f>IF(M38=0,0,M78*0.5*M69*(1-M76/M69)^2/(1-MIN(M87,1)*M77/M69))+225*(M87-1+SQRT((M87-1)^2+16*M87/(M47/M87)))</f>
        <v>#DIV/0!</v>
      </c>
      <c r="N96" s="308"/>
      <c r="O96" s="308"/>
      <c r="P96" s="725"/>
      <c r="Q96" s="570"/>
    </row>
    <row r="97" spans="9:17" x14ac:dyDescent="0.25">
      <c r="I97" s="864" t="s">
        <v>135</v>
      </c>
      <c r="J97" s="725">
        <v>0</v>
      </c>
      <c r="K97" s="308"/>
      <c r="L97" s="308"/>
      <c r="M97" s="308" t="e">
        <f>IF(M39=0,0,0.5*M69*(1-M76/M69)^2/(1-MIN(1,M88)*M76/M69))+225*(M88-1+SQRT((M88-1)^2+16*M88/(O27*MAX(1,M39)*M76/M69)))</f>
        <v>#DIV/0!</v>
      </c>
      <c r="N97" s="308"/>
      <c r="O97" s="308"/>
      <c r="P97" s="725">
        <v>0</v>
      </c>
      <c r="Q97" s="570"/>
    </row>
    <row r="98" spans="9:17" x14ac:dyDescent="0.25">
      <c r="I98" s="866" t="s">
        <v>1097</v>
      </c>
      <c r="J98" s="725"/>
      <c r="K98" s="308"/>
      <c r="L98" s="308"/>
      <c r="M98" s="308">
        <f>IF(M40=0,0,0.5*M69*(1-M77/M69)^2/(1-M62)+225*(M89-1+SQRT((M89-1)^2+16*M89/(O27*MAX(1,M40)*M77/M69))))</f>
        <v>0</v>
      </c>
      <c r="N98" s="308"/>
      <c r="O98" s="308"/>
      <c r="P98" s="725"/>
      <c r="Q98" s="570"/>
    </row>
    <row r="99" spans="9:17" ht="15.75" thickBot="1" x14ac:dyDescent="0.3">
      <c r="I99" s="19" t="s">
        <v>1094</v>
      </c>
      <c r="J99" s="718" t="e">
        <f>0.5*J69*(1-J75/J69)^2/(1-MIN(1,J90)*J75/J69)+225*(J90-1+SQRT((J90-1)^2+16*J90/(J50/J90)))</f>
        <v>#DIV/0!</v>
      </c>
      <c r="K99" s="718"/>
      <c r="L99" s="718"/>
      <c r="M99" s="800"/>
      <c r="N99" s="718"/>
      <c r="O99" s="718"/>
      <c r="P99" s="718" t="e">
        <f>0.5*P69*(1-P75/P69)^2/(1-MIN(1,P90)*P75/P69)+225*(P90-1+SQRT((P90-1)^2+16*P91/(P50/P90)))</f>
        <v>#DIV/0!</v>
      </c>
      <c r="Q99" s="666"/>
    </row>
    <row r="100" spans="9:17" ht="15.75" thickBot="1" x14ac:dyDescent="0.3">
      <c r="I100" s="840" t="s">
        <v>138</v>
      </c>
      <c r="J100" s="841" t="e">
        <f>SUMPRODUCT(J42:J50,J91:J99)/SUM(J42:J50)</f>
        <v>#DIV/0!</v>
      </c>
      <c r="K100" s="841"/>
      <c r="L100" s="841"/>
      <c r="M100" s="841" t="e">
        <f>SUMPRODUCT(M42:M50,M91:M99)/SUM(M42:M50)</f>
        <v>#DIV/0!</v>
      </c>
      <c r="N100" s="841"/>
      <c r="O100" s="841"/>
      <c r="P100" s="841" t="e">
        <f>SUMPRODUCT(P42:P50,P91:P99)/SUM(P42:P50)</f>
        <v>#DIV/0!</v>
      </c>
      <c r="Q100" s="842"/>
    </row>
    <row r="101" spans="9:17" ht="15.75" thickBot="1" x14ac:dyDescent="0.3">
      <c r="I101" s="560" t="s">
        <v>841</v>
      </c>
      <c r="J101" s="731" t="e">
        <f>50*J91*$O$27*J74/J69/3600</f>
        <v>#N/A</v>
      </c>
      <c r="K101" s="713" t="s">
        <v>86</v>
      </c>
      <c r="L101" s="713"/>
      <c r="M101" s="731" t="e">
        <f>50*M91*$O$27*M74/M69/3600</f>
        <v>#N/A</v>
      </c>
      <c r="N101" s="713" t="s">
        <v>86</v>
      </c>
      <c r="O101" s="713"/>
      <c r="P101" s="799">
        <v>0</v>
      </c>
      <c r="Q101" s="843" t="s">
        <v>86</v>
      </c>
    </row>
    <row r="102" spans="9:17" x14ac:dyDescent="0.25">
      <c r="I102" s="17" t="s">
        <v>842</v>
      </c>
      <c r="J102" s="725"/>
      <c r="K102" s="308"/>
      <c r="L102" s="308"/>
      <c r="M102" s="20" t="e">
        <f>50*M92*$O$27*M74/M69/3600</f>
        <v>#N/A</v>
      </c>
      <c r="N102" s="308" t="s">
        <v>86</v>
      </c>
      <c r="O102" s="308"/>
      <c r="P102" s="731" t="e">
        <f>50*P92*$O$27*P75/P70/3600</f>
        <v>#DIV/0!</v>
      </c>
      <c r="Q102" s="570"/>
    </row>
    <row r="103" spans="9:17" x14ac:dyDescent="0.25">
      <c r="I103" s="859" t="s">
        <v>843</v>
      </c>
      <c r="J103" s="725">
        <v>0</v>
      </c>
      <c r="K103" s="308"/>
      <c r="L103" s="308"/>
      <c r="M103" s="20" t="e">
        <f>50*M93*$O$27*M76/M69/3600</f>
        <v>#DIV/0!</v>
      </c>
      <c r="N103" s="308" t="s">
        <v>86</v>
      </c>
      <c r="O103" s="308"/>
      <c r="P103" s="725">
        <v>0</v>
      </c>
      <c r="Q103" s="570"/>
    </row>
    <row r="104" spans="9:17" x14ac:dyDescent="0.25">
      <c r="I104" s="858" t="s">
        <v>844</v>
      </c>
      <c r="J104" s="725"/>
      <c r="K104" s="308"/>
      <c r="L104" s="308"/>
      <c r="M104" s="20" t="e">
        <f>50*M94*$O$27*M77/M69/3600</f>
        <v>#DIV/0!</v>
      </c>
      <c r="N104" s="308" t="s">
        <v>86</v>
      </c>
      <c r="O104" s="308"/>
      <c r="P104" s="725"/>
      <c r="Q104" s="570"/>
    </row>
    <row r="105" spans="9:17" x14ac:dyDescent="0.25">
      <c r="I105" s="864" t="s">
        <v>845</v>
      </c>
      <c r="J105" s="725"/>
      <c r="K105" s="308"/>
      <c r="L105" s="308"/>
      <c r="M105" s="20" t="e">
        <f>50*M95*$O$27*M76/M69/3600</f>
        <v>#DIV/0!</v>
      </c>
      <c r="N105" s="308" t="s">
        <v>86</v>
      </c>
      <c r="O105" s="308"/>
      <c r="P105" s="725"/>
      <c r="Q105" s="570"/>
    </row>
    <row r="106" spans="9:17" x14ac:dyDescent="0.25">
      <c r="I106" s="866" t="s">
        <v>846</v>
      </c>
      <c r="J106" s="725"/>
      <c r="K106" s="308"/>
      <c r="L106" s="308"/>
      <c r="M106" s="20" t="e">
        <f>50*M96*$O$27*M77/M69/3600</f>
        <v>#DIV/0!</v>
      </c>
      <c r="N106" s="308" t="s">
        <v>86</v>
      </c>
      <c r="O106" s="308"/>
      <c r="P106" s="725"/>
      <c r="Q106" s="570"/>
    </row>
    <row r="107" spans="9:17" x14ac:dyDescent="0.25">
      <c r="I107" s="864" t="s">
        <v>847</v>
      </c>
      <c r="J107" s="725">
        <v>0</v>
      </c>
      <c r="K107" s="308"/>
      <c r="L107" s="308"/>
      <c r="M107" s="20" t="e">
        <f>2*M97*$O$27*M76/M69/3600</f>
        <v>#DIV/0!</v>
      </c>
      <c r="N107" s="308" t="s">
        <v>86</v>
      </c>
      <c r="O107" s="308"/>
      <c r="P107" s="725">
        <v>0</v>
      </c>
      <c r="Q107" s="570"/>
    </row>
    <row r="108" spans="9:17" x14ac:dyDescent="0.25">
      <c r="I108" s="866" t="s">
        <v>1268</v>
      </c>
      <c r="J108" s="725"/>
      <c r="K108" s="308"/>
      <c r="L108" s="308"/>
      <c r="M108" s="20" t="e">
        <f>2*M98*$O$27*M77/M69/3600</f>
        <v>#DIV/0!</v>
      </c>
      <c r="N108" s="308" t="s">
        <v>86</v>
      </c>
      <c r="O108" s="308"/>
      <c r="P108" s="725"/>
      <c r="Q108" s="570"/>
    </row>
    <row r="109" spans="9:17" ht="15.75" thickBot="1" x14ac:dyDescent="0.3">
      <c r="I109" s="19" t="s">
        <v>1094</v>
      </c>
      <c r="J109" s="20" t="e">
        <f>50*J99*$O$27*J75/J69/3600</f>
        <v>#DIV/0!</v>
      </c>
      <c r="K109" s="308" t="s">
        <v>86</v>
      </c>
      <c r="L109" s="308"/>
      <c r="M109" s="725"/>
      <c r="N109" s="308" t="s">
        <v>86</v>
      </c>
      <c r="O109" s="308"/>
      <c r="P109" s="20" t="e">
        <f>50*P99*$O$27*P75/P69/3600</f>
        <v>#DIV/0!</v>
      </c>
      <c r="Q109" s="844" t="s">
        <v>86</v>
      </c>
    </row>
    <row r="110" spans="9:17" ht="15.75" thickBot="1" x14ac:dyDescent="0.3">
      <c r="I110" s="461" t="s">
        <v>1267</v>
      </c>
      <c r="J110" s="418" t="e">
        <f>IF(J109 &lt;$D$12,"OK","NO-LOS-F")</f>
        <v>#DIV/0!</v>
      </c>
      <c r="K110" s="418"/>
      <c r="L110" s="418"/>
      <c r="M110" s="418"/>
      <c r="N110" s="418"/>
      <c r="O110" s="418"/>
      <c r="P110" s="418" t="e">
        <f>IF(P109 &lt;$D$12,"OK","NO-LOS-F")</f>
        <v>#DIV/0!</v>
      </c>
      <c r="Q110" s="526"/>
    </row>
    <row r="113" spans="9:9" x14ac:dyDescent="0.25">
      <c r="I113" s="8"/>
    </row>
  </sheetData>
  <sheetProtection algorithmName="SHA-512" hashValue="+vAZQ7H9I5+AFsVxsfB7rMznSMEWxXZcHaEcgBsor2SClf6WR+YCOU3Hke09JlDLUtdMauSwrqg3bt11r41x9Q==" saltValue="DOpTj6DKrYJYjSFYkRBBqg==" spinCount="100000" sheet="1" objects="1" scenarios="1"/>
  <mergeCells count="18">
    <mergeCell ref="S28:T28"/>
    <mergeCell ref="B3:D3"/>
    <mergeCell ref="I3:U3"/>
    <mergeCell ref="F6:H6"/>
    <mergeCell ref="S27:T27"/>
    <mergeCell ref="F7:G7"/>
    <mergeCell ref="B19:C19"/>
    <mergeCell ref="I28:I30"/>
    <mergeCell ref="B56:C56"/>
    <mergeCell ref="F75:G75"/>
    <mergeCell ref="J29:K29"/>
    <mergeCell ref="M29:N29"/>
    <mergeCell ref="P29:Q29"/>
    <mergeCell ref="J30:K30"/>
    <mergeCell ref="M30:N30"/>
    <mergeCell ref="P30:Q30"/>
    <mergeCell ref="E31:G31"/>
    <mergeCell ref="E32:G32"/>
  </mergeCells>
  <conditionalFormatting sqref="J67">
    <cfRule type="cellIs" dxfId="75" priority="11" operator="equal">
      <formula>0</formula>
    </cfRule>
    <cfRule type="cellIs" dxfId="74" priority="23" operator="greaterThan">
      <formula>$D$15</formula>
    </cfRule>
  </conditionalFormatting>
  <conditionalFormatting sqref="J82:J89 L82:P89 J90:P90">
    <cfRule type="cellIs" dxfId="73" priority="1" operator="greaterThan">
      <formula>1</formula>
    </cfRule>
  </conditionalFormatting>
  <conditionalFormatting sqref="J91 J99 P92 P99 M91:M98">
    <cfRule type="colorScale" priority="10">
      <colorScale>
        <cfvo type="min"/>
        <cfvo type="percentile" val="50"/>
        <cfvo type="max"/>
        <color rgb="FF63BE7B"/>
        <color rgb="FFFFEB84"/>
        <color rgb="FFF8696B"/>
      </colorScale>
    </cfRule>
  </conditionalFormatting>
  <conditionalFormatting sqref="J101 J109 P102 P109 M101:M108">
    <cfRule type="colorScale" priority="9">
      <colorScale>
        <cfvo type="min"/>
        <cfvo type="percentile" val="50"/>
        <cfvo type="max"/>
        <color rgb="FF63BE7B"/>
        <color rgb="FFFFEB84"/>
        <color rgb="FFF8696B"/>
      </colorScale>
    </cfRule>
  </conditionalFormatting>
  <conditionalFormatting sqref="J110 M110 P110">
    <cfRule type="containsText" dxfId="72" priority="8" operator="containsText" text="NO-LOSF">
      <formula>NOT(ISERROR(SEARCH("NO-LOSF",J110)))</formula>
    </cfRule>
  </conditionalFormatting>
  <conditionalFormatting sqref="J64:P64 J66:P66">
    <cfRule type="containsText" dxfId="71" priority="12" operator="containsText" text="OVERCAP">
      <formula>NOT(ISERROR(SEARCH("OVERCAP",J64)))</formula>
    </cfRule>
  </conditionalFormatting>
  <conditionalFormatting sqref="J16:U16">
    <cfRule type="colorScale" priority="7">
      <colorScale>
        <cfvo type="min"/>
        <cfvo type="percentile" val="50"/>
        <cfvo type="max"/>
        <color rgb="FF63BE7B"/>
        <color rgb="FFFFEB84"/>
        <color rgb="FFF8696B"/>
      </colorScale>
    </cfRule>
  </conditionalFormatting>
  <conditionalFormatting sqref="J18:U19">
    <cfRule type="cellIs" dxfId="70" priority="5" operator="equal">
      <formula>"F"</formula>
    </cfRule>
    <cfRule type="colorScale" priority="6">
      <colorScale>
        <cfvo type="min"/>
        <cfvo type="percentile" val="50"/>
        <cfvo type="max"/>
        <color rgb="FF63BE7B"/>
        <color rgb="FFFFEB84"/>
        <color rgb="FFF8696B"/>
      </colorScale>
    </cfRule>
  </conditionalFormatting>
  <conditionalFormatting sqref="J24:U24">
    <cfRule type="colorScale" priority="2">
      <colorScale>
        <cfvo type="min"/>
        <cfvo type="percentile" val="50"/>
        <cfvo type="max"/>
        <color rgb="FF63BE7B"/>
        <color rgb="FFFFEB84"/>
        <color rgb="FFF8696B"/>
      </colorScale>
    </cfRule>
  </conditionalFormatting>
  <conditionalFormatting sqref="U21">
    <cfRule type="containsText" dxfId="69" priority="4" operator="containsText" text="YES">
      <formula>NOT(ISERROR(SEARCH("YES",U21)))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AD106"/>
  <sheetViews>
    <sheetView topLeftCell="A2" zoomScale="120" zoomScaleNormal="120" workbookViewId="0">
      <selection activeCell="G29" sqref="G29"/>
    </sheetView>
  </sheetViews>
  <sheetFormatPr defaultColWidth="8.85546875" defaultRowHeight="15" x14ac:dyDescent="0.25"/>
  <cols>
    <col min="1" max="1" width="1" customWidth="1"/>
    <col min="2" max="2" width="9.42578125" customWidth="1"/>
    <col min="3" max="3" width="48.42578125" customWidth="1"/>
    <col min="4" max="4" width="9.85546875" customWidth="1"/>
    <col min="5" max="5" width="12.140625" customWidth="1"/>
    <col min="6" max="6" width="7.140625" customWidth="1"/>
    <col min="7" max="7" width="11.85546875" customWidth="1"/>
    <col min="8" max="8" width="21.140625" customWidth="1"/>
    <col min="9" max="9" width="3.85546875" customWidth="1"/>
    <col min="10" max="10" width="50.42578125" customWidth="1"/>
    <col min="11" max="11" width="8.7109375" customWidth="1"/>
    <col min="12" max="12" width="11.42578125" customWidth="1"/>
    <col min="13" max="13" width="16" customWidth="1"/>
    <col min="14" max="14" width="10" customWidth="1"/>
    <col min="15" max="15" width="12" customWidth="1"/>
    <col min="16" max="16" width="16.28515625" customWidth="1"/>
    <col min="17" max="17" width="8.85546875" customWidth="1"/>
    <col min="18" max="18" width="8.42578125" customWidth="1"/>
    <col min="19" max="19" width="12" customWidth="1"/>
    <col min="20" max="20" width="11.42578125" customWidth="1"/>
    <col min="21" max="21" width="9" customWidth="1"/>
    <col min="22" max="22" width="11.42578125" customWidth="1"/>
    <col min="23" max="23" width="4.28515625" customWidth="1"/>
    <col min="24" max="24" width="7" customWidth="1"/>
    <col min="25" max="25" width="10" customWidth="1"/>
  </cols>
  <sheetData>
    <row r="1" spans="2:23" ht="4.5" hidden="1" customHeight="1" x14ac:dyDescent="0.25"/>
    <row r="2" spans="2:23" ht="4.5" customHeight="1" thickBot="1" x14ac:dyDescent="0.3"/>
    <row r="3" spans="2:23" ht="18.75" customHeight="1" thickBot="1" x14ac:dyDescent="0.35">
      <c r="B3" s="1685" t="s">
        <v>0</v>
      </c>
      <c r="C3" s="1686"/>
      <c r="D3" s="1687"/>
      <c r="J3" s="1685" t="s">
        <v>5</v>
      </c>
      <c r="K3" s="1686"/>
      <c r="L3" s="1686"/>
      <c r="M3" s="1686"/>
      <c r="N3" s="1686"/>
      <c r="O3" s="1686"/>
      <c r="P3" s="1686"/>
      <c r="Q3" s="1686"/>
      <c r="R3" s="1686"/>
      <c r="S3" s="1686"/>
      <c r="T3" s="1686"/>
      <c r="U3" s="1686"/>
      <c r="V3" s="1687"/>
    </row>
    <row r="4" spans="2:23" ht="18.75" customHeight="1" thickBot="1" x14ac:dyDescent="0.35">
      <c r="B4" s="195"/>
      <c r="C4" s="195"/>
      <c r="D4" s="195"/>
      <c r="J4" s="195"/>
      <c r="K4" s="195"/>
      <c r="L4" s="195"/>
      <c r="M4" s="195"/>
      <c r="N4" s="195"/>
      <c r="O4" s="195"/>
      <c r="P4" s="195"/>
      <c r="Q4" s="195"/>
      <c r="R4" s="195"/>
      <c r="S4" s="195"/>
      <c r="T4" s="195"/>
      <c r="U4" s="195"/>
      <c r="V4" s="195"/>
    </row>
    <row r="5" spans="2:23" ht="14.25" customHeight="1" thickBot="1" x14ac:dyDescent="0.3">
      <c r="B5" s="560" t="s">
        <v>1043</v>
      </c>
      <c r="C5" s="561"/>
      <c r="D5" s="1758">
        <f>'GLOBAL INPUTS'!F55</f>
        <v>0</v>
      </c>
      <c r="E5" s="1758"/>
      <c r="F5" s="1758"/>
      <c r="G5" s="1758"/>
      <c r="H5" s="1758"/>
      <c r="I5" s="1759"/>
      <c r="J5" s="40" t="s">
        <v>1103</v>
      </c>
      <c r="K5" s="526"/>
      <c r="L5" s="1033">
        <v>1</v>
      </c>
      <c r="M5" s="464"/>
    </row>
    <row r="6" spans="2:23" ht="15.75" customHeight="1" thickBot="1" x14ac:dyDescent="0.3">
      <c r="B6" s="17" t="s">
        <v>1098</v>
      </c>
      <c r="C6" s="570"/>
      <c r="D6" s="891">
        <f>'GLOBAL INPUTS'!F57</f>
        <v>0</v>
      </c>
      <c r="E6" s="678" t="s">
        <v>1035</v>
      </c>
      <c r="F6" s="197"/>
      <c r="G6" s="197"/>
      <c r="H6" s="197"/>
      <c r="I6" s="197"/>
    </row>
    <row r="7" spans="2:23" ht="18.75" customHeight="1" thickBot="1" x14ac:dyDescent="0.35">
      <c r="B7" s="591" t="s">
        <v>1099</v>
      </c>
      <c r="C7" s="598"/>
      <c r="D7" s="571">
        <f>'GLOBAL INPUTS'!F56</f>
        <v>0</v>
      </c>
      <c r="E7" s="892"/>
      <c r="F7" s="197"/>
      <c r="G7" s="24"/>
      <c r="H7" s="24"/>
      <c r="J7" s="893" t="s">
        <v>1090</v>
      </c>
      <c r="K7" s="894">
        <f>'GLOBAL INPUTS'!S56</f>
        <v>0</v>
      </c>
      <c r="L7" s="895"/>
      <c r="M7" s="896">
        <f>'GLOBAL INPUTS'!S58</f>
        <v>0</v>
      </c>
      <c r="N7" s="897">
        <f>'GLOBAL INPUTS'!S59</f>
        <v>0</v>
      </c>
      <c r="O7" s="897">
        <f>'GLOBAL INPUTS'!S60</f>
        <v>0</v>
      </c>
      <c r="P7" s="897">
        <f>'GLOBAL INPUTS'!S61</f>
        <v>0</v>
      </c>
      <c r="Q7" s="897">
        <f>'GLOBAL INPUTS'!S62</f>
        <v>0</v>
      </c>
      <c r="R7" s="895"/>
      <c r="S7" s="897">
        <f>'GLOBAL INPUTS'!S64</f>
        <v>0</v>
      </c>
      <c r="T7" s="897">
        <f>'GLOBAL INPUTS'!S65</f>
        <v>0</v>
      </c>
      <c r="U7" s="897">
        <f>'GLOBAL INPUTS'!S66</f>
        <v>0</v>
      </c>
      <c r="V7" s="897">
        <f>'GLOBAL INPUTS'!S67</f>
        <v>0</v>
      </c>
    </row>
    <row r="8" spans="2:23" ht="17.25" customHeight="1" thickBot="1" x14ac:dyDescent="0.35">
      <c r="B8" s="17" t="s">
        <v>469</v>
      </c>
      <c r="C8" s="570"/>
      <c r="D8" s="571">
        <f>'GLOBAL INPUTS'!F58</f>
        <v>0</v>
      </c>
      <c r="E8" s="578"/>
      <c r="J8" s="898" t="s">
        <v>6</v>
      </c>
      <c r="K8" s="899">
        <v>2</v>
      </c>
      <c r="L8" s="899">
        <v>2</v>
      </c>
      <c r="M8" s="899">
        <v>2</v>
      </c>
      <c r="N8" s="900">
        <v>4</v>
      </c>
      <c r="O8" s="899">
        <v>4</v>
      </c>
      <c r="P8" s="901">
        <v>4</v>
      </c>
      <c r="Q8" s="899">
        <v>6</v>
      </c>
      <c r="R8" s="899">
        <v>6</v>
      </c>
      <c r="S8" s="899">
        <v>6</v>
      </c>
      <c r="T8" s="900">
        <v>8</v>
      </c>
      <c r="U8" s="899">
        <v>8</v>
      </c>
      <c r="V8" s="901">
        <v>8</v>
      </c>
    </row>
    <row r="9" spans="2:23" ht="16.5" customHeight="1" thickBot="1" x14ac:dyDescent="0.35">
      <c r="B9" s="17" t="s">
        <v>1002</v>
      </c>
      <c r="C9" s="570"/>
      <c r="D9" s="571">
        <f>'GLOBAL INPUTS'!F59</f>
        <v>0</v>
      </c>
      <c r="E9" s="578" t="s">
        <v>2</v>
      </c>
      <c r="G9" s="1749" t="s">
        <v>146</v>
      </c>
      <c r="H9" s="1751"/>
      <c r="J9" s="903" t="s">
        <v>7</v>
      </c>
      <c r="K9" s="904">
        <v>4</v>
      </c>
      <c r="L9" s="904">
        <v>6</v>
      </c>
      <c r="M9" s="904">
        <v>8</v>
      </c>
      <c r="N9" s="905">
        <v>6</v>
      </c>
      <c r="O9" s="904">
        <v>8</v>
      </c>
      <c r="P9" s="906">
        <v>2</v>
      </c>
      <c r="Q9" s="904">
        <v>8</v>
      </c>
      <c r="R9" s="904">
        <v>2</v>
      </c>
      <c r="S9" s="904">
        <v>4</v>
      </c>
      <c r="T9" s="905">
        <v>2</v>
      </c>
      <c r="U9" s="904">
        <v>4</v>
      </c>
      <c r="V9" s="906">
        <v>6</v>
      </c>
    </row>
    <row r="10" spans="2:23" ht="14.25" customHeight="1" thickBot="1" x14ac:dyDescent="0.3">
      <c r="B10" s="17" t="s">
        <v>1100</v>
      </c>
      <c r="C10" s="570"/>
      <c r="D10" s="571">
        <f>'GLOBAL INPUTS'!F61</f>
        <v>0</v>
      </c>
      <c r="E10" s="578" t="s">
        <v>3</v>
      </c>
      <c r="F10" s="27"/>
      <c r="G10" s="1706" t="s">
        <v>93</v>
      </c>
      <c r="H10" s="1707"/>
      <c r="J10" s="603" t="s">
        <v>8</v>
      </c>
      <c r="K10" s="18" t="s">
        <v>9</v>
      </c>
      <c r="L10" s="18" t="s">
        <v>10</v>
      </c>
      <c r="M10" s="18" t="s">
        <v>11</v>
      </c>
      <c r="N10" s="579" t="s">
        <v>9</v>
      </c>
      <c r="O10" s="18" t="s">
        <v>10</v>
      </c>
      <c r="P10" s="578" t="s">
        <v>11</v>
      </c>
      <c r="Q10" s="18" t="s">
        <v>9</v>
      </c>
      <c r="R10" s="18" t="s">
        <v>10</v>
      </c>
      <c r="S10" s="18" t="s">
        <v>11</v>
      </c>
      <c r="T10" s="579" t="s">
        <v>9</v>
      </c>
      <c r="U10" s="18" t="s">
        <v>10</v>
      </c>
      <c r="V10" s="578" t="s">
        <v>11</v>
      </c>
    </row>
    <row r="11" spans="2:23" ht="19.5" thickBot="1" x14ac:dyDescent="0.35">
      <c r="B11" s="17" t="s">
        <v>1049</v>
      </c>
      <c r="C11" s="570"/>
      <c r="D11" s="571">
        <f>'GLOBAL INPUTS'!F63</f>
        <v>0</v>
      </c>
      <c r="E11" s="578" t="s">
        <v>708</v>
      </c>
      <c r="F11" s="27"/>
      <c r="G11" s="1754" t="s">
        <v>94</v>
      </c>
      <c r="H11" s="1755"/>
      <c r="J11" s="599" t="s">
        <v>147</v>
      </c>
      <c r="K11" s="227"/>
      <c r="L11" s="907">
        <f>D7</f>
        <v>0</v>
      </c>
      <c r="M11" s="908"/>
      <c r="N11" s="909"/>
      <c r="O11" s="907" t="str">
        <f>IF(L11="EB","SB",IF(L11="WB","NB",IF(L11="NB","EB","WB")))</f>
        <v>WB</v>
      </c>
      <c r="P11" s="910"/>
      <c r="Q11" s="908"/>
      <c r="R11" s="907" t="str">
        <f>IF($L$11="SB","NB",IF($L$11="NB","SB",IF($L$11="EB","WB","EB")))</f>
        <v>EB</v>
      </c>
      <c r="S11" s="908"/>
      <c r="T11" s="909"/>
      <c r="U11" s="907" t="str">
        <f>IF($L$11="SB","EB",IF($L$11="NB","WB",IF($L$11="EB","NB","SB")))</f>
        <v>SB</v>
      </c>
      <c r="V11" s="526"/>
    </row>
    <row r="12" spans="2:23" ht="16.5" thickBot="1" x14ac:dyDescent="0.3">
      <c r="B12" s="17" t="s">
        <v>1050</v>
      </c>
      <c r="C12" s="570"/>
      <c r="D12" s="571">
        <f>'GLOBAL INPUTS'!F64</f>
        <v>0</v>
      </c>
      <c r="E12" s="578" t="s">
        <v>708</v>
      </c>
      <c r="G12" s="911">
        <v>0</v>
      </c>
      <c r="H12" s="912" t="s">
        <v>16</v>
      </c>
      <c r="J12" s="614" t="s">
        <v>148</v>
      </c>
      <c r="K12" s="417">
        <f>K7*$D$16</f>
        <v>0</v>
      </c>
      <c r="L12" s="913"/>
      <c r="M12" s="417">
        <f t="shared" ref="M12:V12" si="0">M7*$D$16</f>
        <v>0</v>
      </c>
      <c r="N12" s="417">
        <f t="shared" si="0"/>
        <v>0</v>
      </c>
      <c r="O12" s="417">
        <f t="shared" si="0"/>
        <v>0</v>
      </c>
      <c r="P12" s="417">
        <f t="shared" si="0"/>
        <v>0</v>
      </c>
      <c r="Q12" s="417">
        <f t="shared" si="0"/>
        <v>0</v>
      </c>
      <c r="R12" s="913"/>
      <c r="S12" s="417">
        <f t="shared" si="0"/>
        <v>0</v>
      </c>
      <c r="T12" s="417">
        <f t="shared" si="0"/>
        <v>0</v>
      </c>
      <c r="U12" s="417">
        <f t="shared" si="0"/>
        <v>0</v>
      </c>
      <c r="V12" s="417">
        <f t="shared" si="0"/>
        <v>0</v>
      </c>
    </row>
    <row r="13" spans="2:23" ht="12.75" customHeight="1" x14ac:dyDescent="0.25">
      <c r="B13" s="17" t="s">
        <v>149</v>
      </c>
      <c r="C13" s="570"/>
      <c r="D13" s="571">
        <f>'GLOBAL INPUTS'!F65</f>
        <v>0</v>
      </c>
      <c r="E13" s="578" t="s">
        <v>1006</v>
      </c>
      <c r="G13" s="911">
        <v>15</v>
      </c>
      <c r="H13" s="912" t="s">
        <v>17</v>
      </c>
      <c r="J13" s="914" t="s">
        <v>1104</v>
      </c>
      <c r="K13" s="579" t="e">
        <f>ROUND(K12/$D$8,0)</f>
        <v>#DIV/0!</v>
      </c>
      <c r="L13" s="659"/>
      <c r="M13" s="578" t="e">
        <f>ROUND(M12/$D$8,0)</f>
        <v>#DIV/0!</v>
      </c>
      <c r="N13" s="18" t="e">
        <f>ROUND(N12/$D$8,0)</f>
        <v>#DIV/0!</v>
      </c>
      <c r="O13" s="18" t="e">
        <f>ROUND(O12/$D$8,0)</f>
        <v>#DIV/0!</v>
      </c>
      <c r="P13" s="18" t="e">
        <f>ROUND(P12/$D$8,0)</f>
        <v>#DIV/0!</v>
      </c>
      <c r="Q13" s="677" t="e">
        <f>ROUND(Q12/$D$8,0)</f>
        <v>#DIV/0!</v>
      </c>
      <c r="R13" s="887"/>
      <c r="S13" s="678" t="e">
        <f>ROUND(S12/$D$8,0)</f>
        <v>#DIV/0!</v>
      </c>
      <c r="T13" s="658" t="e">
        <f>ROUND(T12/$D$8,0)</f>
        <v>#DIV/0!</v>
      </c>
      <c r="U13" s="658" t="e">
        <f>ROUND(U12/$D$8,0)</f>
        <v>#DIV/0!</v>
      </c>
      <c r="V13" s="678" t="e">
        <f>ROUND(V12/$D$8,0)</f>
        <v>#DIV/0!</v>
      </c>
      <c r="W13" s="18" t="e">
        <f>ROUND(W12/$D$8,0)</f>
        <v>#DIV/0!</v>
      </c>
    </row>
    <row r="14" spans="2:23" ht="15.75" customHeight="1" x14ac:dyDescent="0.25">
      <c r="B14" s="17" t="s">
        <v>1101</v>
      </c>
      <c r="C14" s="570"/>
      <c r="D14" s="571">
        <f>'GLOBAL INPUTS'!F66</f>
        <v>0</v>
      </c>
      <c r="E14" s="570"/>
      <c r="G14" s="911">
        <v>30</v>
      </c>
      <c r="H14" s="912" t="s">
        <v>18</v>
      </c>
      <c r="J14" s="603" t="s">
        <v>1105</v>
      </c>
      <c r="K14" s="915" t="e">
        <f>ROUND(K13*(1+$D$9/100),0)</f>
        <v>#DIV/0!</v>
      </c>
      <c r="L14" s="916"/>
      <c r="M14" s="917" t="e">
        <f>ROUND(M13*(1+$D$9/100),0)</f>
        <v>#DIV/0!</v>
      </c>
      <c r="N14" s="918" t="e">
        <f>ROUND(N13*(1+$D$9/100),0)</f>
        <v>#DIV/0!</v>
      </c>
      <c r="O14" s="918" t="e">
        <f>ROUND(O13*(1+$D$9/100),0)</f>
        <v>#DIV/0!</v>
      </c>
      <c r="P14" s="917" t="e">
        <f>ROUND(P13*(1+$D$9/100),0)</f>
        <v>#DIV/0!</v>
      </c>
      <c r="Q14" s="915" t="e">
        <f>ROUND(Q13*(1+$D$9/100),0)</f>
        <v>#DIV/0!</v>
      </c>
      <c r="R14" s="916"/>
      <c r="S14" s="917" t="e">
        <f>ROUND(S13*(1+$D$9/100),0)</f>
        <v>#DIV/0!</v>
      </c>
      <c r="T14" s="918" t="e">
        <f>ROUND(T13*(1+$D$9/100),0)</f>
        <v>#DIV/0!</v>
      </c>
      <c r="U14" s="918" t="e">
        <f>ROUND(U13*(1+$D$9/100),0)</f>
        <v>#DIV/0!</v>
      </c>
      <c r="V14" s="917" t="e">
        <f>ROUND(V13*(1+$D$9/100),0)</f>
        <v>#DIV/0!</v>
      </c>
      <c r="W14" s="918" t="e">
        <f>ROUND(W13*(1+$D$9/100),0)</f>
        <v>#DIV/0!</v>
      </c>
    </row>
    <row r="15" spans="2:23" ht="15.75" customHeight="1" thickBot="1" x14ac:dyDescent="0.3">
      <c r="B15" s="1756" t="str">
        <f>'GLOBAL INPUTS'!D67</f>
        <v xml:space="preserve">Coordination arrival type on major road (1=poor; 6=outstanding) </v>
      </c>
      <c r="C15" s="1757"/>
      <c r="D15" s="571">
        <f>'GLOBAL INPUTS'!F67</f>
        <v>0</v>
      </c>
      <c r="E15" s="570"/>
      <c r="G15" s="911">
        <v>55</v>
      </c>
      <c r="H15" s="912" t="s">
        <v>19</v>
      </c>
      <c r="J15" s="603"/>
      <c r="K15" s="915"/>
      <c r="L15" s="916"/>
      <c r="M15" s="917"/>
      <c r="N15" s="918"/>
      <c r="O15" s="918"/>
      <c r="P15" s="918"/>
      <c r="Q15" s="915"/>
      <c r="R15" s="916"/>
      <c r="S15" s="917"/>
      <c r="T15" s="918"/>
      <c r="U15" s="918"/>
      <c r="V15" s="917"/>
      <c r="W15" s="918"/>
    </row>
    <row r="16" spans="2:23" ht="15.75" customHeight="1" thickBot="1" x14ac:dyDescent="0.3">
      <c r="B16" s="19" t="s">
        <v>1102</v>
      </c>
      <c r="C16" s="666"/>
      <c r="D16" s="919">
        <f>'GLOBAL INPUTS'!F68</f>
        <v>0</v>
      </c>
      <c r="E16" s="666"/>
      <c r="G16" s="911">
        <v>85</v>
      </c>
      <c r="H16" s="912" t="s">
        <v>20</v>
      </c>
      <c r="J16" s="920" t="s">
        <v>1065</v>
      </c>
      <c r="K16" s="921" t="e">
        <f>N74+K72</f>
        <v>#N/A</v>
      </c>
      <c r="L16" s="922"/>
      <c r="M16" s="923" t="e">
        <f>N73</f>
        <v>#N/A</v>
      </c>
      <c r="N16" s="924" t="e">
        <f>K70</f>
        <v>#N/A</v>
      </c>
      <c r="O16" s="924" t="e">
        <f>K70+N72</f>
        <v>#N/A</v>
      </c>
      <c r="P16" s="418">
        <v>0</v>
      </c>
      <c r="Q16" s="921" t="e">
        <f>K74+N72</f>
        <v>#N/A</v>
      </c>
      <c r="R16" s="922"/>
      <c r="S16" s="923" t="e">
        <f>K73</f>
        <v>#N/A</v>
      </c>
      <c r="T16" s="924" t="e">
        <f>N70</f>
        <v>#N/A</v>
      </c>
      <c r="U16" s="924" t="e">
        <f>N70+K72</f>
        <v>#N/A</v>
      </c>
      <c r="V16" s="419">
        <v>0</v>
      </c>
    </row>
    <row r="17" spans="5:24" ht="16.5" customHeight="1" x14ac:dyDescent="0.25">
      <c r="G17" s="911">
        <v>120</v>
      </c>
      <c r="H17" s="912" t="s">
        <v>21</v>
      </c>
      <c r="J17" s="925"/>
      <c r="K17" s="926"/>
      <c r="L17" s="725"/>
      <c r="M17" s="844"/>
      <c r="N17" s="926"/>
      <c r="O17" s="308"/>
      <c r="P17" s="308"/>
      <c r="Q17" s="926"/>
      <c r="R17" s="725"/>
      <c r="S17" s="844"/>
      <c r="T17" s="926"/>
      <c r="U17" s="308"/>
      <c r="V17" s="844"/>
    </row>
    <row r="18" spans="5:24" x14ac:dyDescent="0.25">
      <c r="J18" s="925" t="s">
        <v>1063</v>
      </c>
      <c r="K18" s="926" t="e">
        <f>K16+K17</f>
        <v>#N/A</v>
      </c>
      <c r="L18" s="659"/>
      <c r="M18" s="844" t="e">
        <f t="shared" ref="M18:V18" si="1">M16+M17</f>
        <v>#N/A</v>
      </c>
      <c r="N18" s="308" t="e">
        <f t="shared" si="1"/>
        <v>#N/A</v>
      </c>
      <c r="O18" s="308" t="e">
        <f t="shared" si="1"/>
        <v>#N/A</v>
      </c>
      <c r="P18" s="308">
        <f t="shared" si="1"/>
        <v>0</v>
      </c>
      <c r="Q18" s="926" t="e">
        <f>Q16+Q17</f>
        <v>#N/A</v>
      </c>
      <c r="R18" s="725"/>
      <c r="S18" s="844" t="e">
        <f t="shared" si="1"/>
        <v>#N/A</v>
      </c>
      <c r="T18" s="308" t="e">
        <f t="shared" si="1"/>
        <v>#N/A</v>
      </c>
      <c r="U18" s="308" t="e">
        <f t="shared" si="1"/>
        <v>#N/A</v>
      </c>
      <c r="V18" s="844">
        <f t="shared" si="1"/>
        <v>0</v>
      </c>
    </row>
    <row r="19" spans="5:24" x14ac:dyDescent="0.25">
      <c r="J19" s="925" t="s">
        <v>1077</v>
      </c>
      <c r="K19" s="926"/>
      <c r="L19" s="308" t="e">
        <f>SUMPRODUCT(K18:M18,K14:M14)/SUM(K14:M14)</f>
        <v>#N/A</v>
      </c>
      <c r="M19" s="844"/>
      <c r="N19" s="308"/>
      <c r="O19" s="308" t="e">
        <f>SUMPRODUCT(N18:P18,N14:P14)/SUM(N14:P14)</f>
        <v>#N/A</v>
      </c>
      <c r="P19" s="308"/>
      <c r="Q19" s="926"/>
      <c r="R19" s="322" t="e">
        <f>SUMPRODUCT(Q18:S18,Q14:S14)/SUM(Q14:S14)</f>
        <v>#N/A</v>
      </c>
      <c r="S19" s="844"/>
      <c r="T19" s="308"/>
      <c r="U19" s="308" t="e">
        <f>SUMPRODUCT(T18:V18,T14:V14)/SUM(T14:V14)</f>
        <v>#N/A</v>
      </c>
      <c r="V19" s="844"/>
    </row>
    <row r="20" spans="5:24" ht="15.75" thickBot="1" x14ac:dyDescent="0.3">
      <c r="J20" s="927"/>
      <c r="K20" s="19"/>
      <c r="L20" s="718"/>
      <c r="M20" s="928"/>
      <c r="N20" s="718"/>
      <c r="O20" s="718"/>
      <c r="P20" s="718"/>
      <c r="Q20" s="929"/>
      <c r="R20" s="718"/>
      <c r="S20" s="928"/>
      <c r="T20" s="718"/>
      <c r="U20" s="718"/>
      <c r="V20" s="666"/>
    </row>
    <row r="21" spans="5:24" ht="16.5" thickBot="1" x14ac:dyDescent="0.3">
      <c r="E21" s="1681"/>
      <c r="F21" s="1681"/>
      <c r="G21" s="18"/>
      <c r="J21" s="930" t="s">
        <v>95</v>
      </c>
      <c r="K21" s="931" t="e">
        <f>VLOOKUP(K18,$G$12:$H$17,2,TRUE)</f>
        <v>#N/A</v>
      </c>
      <c r="L21" s="932"/>
      <c r="M21" s="931" t="e">
        <f>VLOOKUP(M18,$G$12:$H$17,2,TRUE)</f>
        <v>#N/A</v>
      </c>
      <c r="N21" s="931" t="e">
        <f>VLOOKUP(N18,$G$12:$H$17,2,TRUE)</f>
        <v>#N/A</v>
      </c>
      <c r="O21" s="931" t="e">
        <f>VLOOKUP(O18,$G$12:$H$17,2,TRUE)</f>
        <v>#N/A</v>
      </c>
      <c r="P21" s="931" t="str">
        <f>VLOOKUP(P18,$G$12:$H$17,2,TRUE)</f>
        <v>A</v>
      </c>
      <c r="Q21" s="931" t="e">
        <f>VLOOKUP(Q18,$G$12:$H$17,2,TRUE)</f>
        <v>#N/A</v>
      </c>
      <c r="R21" s="932"/>
      <c r="S21" s="931" t="e">
        <f>VLOOKUP(S18,$G$12:$H$17,2,TRUE)</f>
        <v>#N/A</v>
      </c>
      <c r="T21" s="931" t="e">
        <f>VLOOKUP(T18,$G$12:$H$17,2,TRUE)</f>
        <v>#N/A</v>
      </c>
      <c r="U21" s="931" t="e">
        <f>VLOOKUP(U18,$G$12:$H$17,2,TRUE)</f>
        <v>#N/A</v>
      </c>
      <c r="V21" s="931" t="str">
        <f>VLOOKUP(V18,$G$12:$H$17,2,TRUE)</f>
        <v>A</v>
      </c>
    </row>
    <row r="22" spans="5:24" ht="16.5" customHeight="1" thickBot="1" x14ac:dyDescent="0.3">
      <c r="E22" s="1760"/>
      <c r="F22" s="1760"/>
      <c r="G22" s="1760"/>
      <c r="H22" s="1760"/>
      <c r="J22" s="920" t="s">
        <v>151</v>
      </c>
      <c r="Q22" s="1761" t="s">
        <v>152</v>
      </c>
      <c r="R22" s="1762"/>
      <c r="S22" s="1762"/>
      <c r="T22" s="1763"/>
      <c r="U22" s="933" t="e">
        <f>SUMPRODUCT(K14:V14,K18:V18)/SUM(K14:V14)</f>
        <v>#DIV/0!</v>
      </c>
      <c r="V22" s="934" t="e">
        <f>VLOOKUP(U22,$G$12:$H$17,2,TRUE)</f>
        <v>#DIV/0!</v>
      </c>
    </row>
    <row r="23" spans="5:24" ht="21.75" thickBot="1" x14ac:dyDescent="0.4">
      <c r="K23" s="195"/>
      <c r="L23" s="195"/>
      <c r="M23" s="15"/>
      <c r="N23" s="15"/>
      <c r="O23" s="27"/>
      <c r="P23" s="195"/>
      <c r="Q23" s="935" t="s">
        <v>153</v>
      </c>
      <c r="R23" s="936"/>
      <c r="S23" s="936"/>
      <c r="T23" s="936"/>
      <c r="U23" s="1752" t="e">
        <f>IF(K78&gt;D10,"YES",IF(N78&gt;D10,"YES","NO"))</f>
        <v>#N/A</v>
      </c>
      <c r="V23" s="1753"/>
    </row>
    <row r="24" spans="5:24" x14ac:dyDescent="0.25">
      <c r="X24" s="937"/>
    </row>
    <row r="25" spans="5:24" ht="15.75" x14ac:dyDescent="0.25">
      <c r="K25" s="158"/>
      <c r="L25" s="158"/>
      <c r="M25" s="158"/>
      <c r="N25" s="158"/>
      <c r="O25" s="158"/>
      <c r="P25" s="158"/>
      <c r="Q25" s="158"/>
      <c r="R25" s="158"/>
      <c r="S25" s="158"/>
      <c r="T25" s="158"/>
      <c r="U25" s="158"/>
      <c r="V25" s="158"/>
      <c r="X25" s="938"/>
    </row>
    <row r="26" spans="5:24" ht="15.75" x14ac:dyDescent="0.25">
      <c r="E26" s="15" t="s">
        <v>1375</v>
      </c>
      <c r="F26" s="662"/>
      <c r="Q26" s="1648"/>
      <c r="R26" s="1648"/>
      <c r="S26" s="1648"/>
      <c r="T26" s="1648"/>
      <c r="U26" s="27"/>
      <c r="V26" s="27"/>
    </row>
    <row r="27" spans="5:24" ht="16.5" thickBot="1" x14ac:dyDescent="0.3">
      <c r="E27" s="1032" t="s">
        <v>1234</v>
      </c>
      <c r="F27" s="1032"/>
      <c r="G27" s="1032"/>
      <c r="H27" s="1032"/>
      <c r="T27" s="682"/>
    </row>
    <row r="28" spans="5:24" ht="19.5" thickBot="1" x14ac:dyDescent="0.35">
      <c r="K28" s="560"/>
      <c r="L28" s="649"/>
      <c r="M28" s="649" t="s">
        <v>60</v>
      </c>
      <c r="N28" s="649"/>
      <c r="O28" s="561"/>
      <c r="T28" s="682"/>
    </row>
    <row r="29" spans="5:24" ht="19.5" thickBot="1" x14ac:dyDescent="0.35">
      <c r="K29" s="1717" t="s">
        <v>154</v>
      </c>
      <c r="L29" s="1734"/>
      <c r="M29" s="1734"/>
      <c r="N29" s="1734"/>
      <c r="O29" s="940">
        <f>ROUND(D13*0.95,0)</f>
        <v>0</v>
      </c>
      <c r="T29" s="682"/>
    </row>
    <row r="30" spans="5:24" ht="19.5" thickBot="1" x14ac:dyDescent="0.35">
      <c r="J30" s="1700" t="s">
        <v>955</v>
      </c>
      <c r="T30" s="682"/>
      <c r="V30" s="195"/>
    </row>
    <row r="31" spans="5:24" x14ac:dyDescent="0.25">
      <c r="J31" s="1701"/>
      <c r="K31" s="653" t="s">
        <v>155</v>
      </c>
      <c r="L31" s="654"/>
      <c r="M31" s="15"/>
      <c r="N31" s="653" t="s">
        <v>156</v>
      </c>
      <c r="O31" s="654"/>
      <c r="P31" s="15"/>
      <c r="Q31" s="15"/>
    </row>
    <row r="32" spans="5:24" ht="19.5" thickBot="1" x14ac:dyDescent="0.35">
      <c r="J32" s="1702"/>
      <c r="K32" s="1735" t="str">
        <f>O11</f>
        <v>WB</v>
      </c>
      <c r="L32" s="1736"/>
      <c r="M32" s="195"/>
      <c r="N32" s="1735" t="str">
        <f>U11</f>
        <v>SB</v>
      </c>
      <c r="O32" s="1736"/>
      <c r="Q32" s="18"/>
    </row>
    <row r="33" spans="3:25" ht="15.75" x14ac:dyDescent="0.25">
      <c r="J33" s="560" t="s">
        <v>1106</v>
      </c>
      <c r="K33" s="12"/>
      <c r="L33" s="777" t="str">
        <f>CONCATENATE(K32,"T")</f>
        <v>WBT</v>
      </c>
      <c r="M33" s="658"/>
      <c r="N33" s="12"/>
      <c r="O33" s="777" t="str">
        <f>CONCATENATE(N32,"T")</f>
        <v>SBT</v>
      </c>
      <c r="P33" s="678"/>
      <c r="Q33" s="24"/>
    </row>
    <row r="34" spans="3:25" ht="15.75" x14ac:dyDescent="0.25">
      <c r="J34" s="17" t="s">
        <v>157</v>
      </c>
      <c r="K34" s="1034"/>
      <c r="L34" s="276" t="str">
        <f>CONCATENATE(K32,"L")</f>
        <v>WBL</v>
      </c>
      <c r="M34" s="18"/>
      <c r="N34" s="37"/>
      <c r="O34" s="276" t="str">
        <f>CONCATENATE(N32,"L")</f>
        <v>SBL</v>
      </c>
      <c r="P34" s="578"/>
      <c r="Q34" s="24"/>
      <c r="V34" t="s">
        <v>158</v>
      </c>
    </row>
    <row r="35" spans="3:25" ht="15.75" x14ac:dyDescent="0.25">
      <c r="J35" s="17" t="s">
        <v>159</v>
      </c>
      <c r="K35" s="1034"/>
      <c r="L35" s="276" t="str">
        <f>CONCATENATE(K32,"L-BRIDGE")</f>
        <v>WBL-BRIDGE</v>
      </c>
      <c r="M35" s="18"/>
      <c r="N35" s="37"/>
      <c r="O35" s="276" t="str">
        <f>CONCATENATE(N32,"L-BRIDGE")</f>
        <v>SBL-BRIDGE</v>
      </c>
      <c r="P35" s="578"/>
      <c r="Q35" s="24"/>
    </row>
    <row r="36" spans="3:25" ht="15.75" x14ac:dyDescent="0.25">
      <c r="J36" s="17" t="s">
        <v>1107</v>
      </c>
      <c r="K36" s="1034"/>
      <c r="L36" s="276" t="b">
        <f>IF(O36="NBR","SBR",IF(O36="SBR","NBR",IF(O36="EBR","WBR",IF(O36="WBR","EBR"))))</f>
        <v>0</v>
      </c>
      <c r="M36" s="18"/>
      <c r="N36" s="37"/>
      <c r="O36" s="276" t="str">
        <f>CONCATENATE(D7,"R")</f>
        <v>0R</v>
      </c>
      <c r="P36" s="578"/>
      <c r="Q36" s="24"/>
      <c r="S36" s="18"/>
    </row>
    <row r="37" spans="3:25" ht="16.5" thickBot="1" x14ac:dyDescent="0.3">
      <c r="J37" s="19" t="s">
        <v>160</v>
      </c>
      <c r="K37" s="66"/>
      <c r="L37" s="276" t="b">
        <f>IF(O37="NBL","SBL",IF(O37="SBL","NBL",IF(O37="EBL","WBL",IF(O37="WBL","EBL"))))</f>
        <v>0</v>
      </c>
      <c r="M37" s="663"/>
      <c r="N37" s="36"/>
      <c r="O37" s="276" t="str">
        <f>CONCATENATE(D7,"L")</f>
        <v>0L</v>
      </c>
      <c r="P37" s="679"/>
      <c r="Q37" s="24"/>
    </row>
    <row r="38" spans="3:25" ht="15.75" x14ac:dyDescent="0.25">
      <c r="D38" s="18"/>
      <c r="E38" s="1737" t="s">
        <v>161</v>
      </c>
      <c r="F38" s="1737"/>
      <c r="G38" s="1737"/>
      <c r="H38" s="1737"/>
      <c r="I38" s="578"/>
      <c r="J38" s="560" t="s">
        <v>162</v>
      </c>
      <c r="K38" s="658" t="e">
        <f>ROUND(O14*IF(L44=0,D49,VLOOKUP((K33-L44),C60:E63,3,TRUE)),0)</f>
        <v>#DIV/0!</v>
      </c>
      <c r="L38" s="941" t="e">
        <f>K38/O7</f>
        <v>#DIV/0!</v>
      </c>
      <c r="M38" s="658"/>
      <c r="N38" s="658" t="e">
        <f>ROUND(U14*IF(N34=0,D54,VLOOKUP(N33,C60:E63,3,TRUE)),0)</f>
        <v>#DIV/0!</v>
      </c>
      <c r="O38" s="942" t="e">
        <f>N38/U7</f>
        <v>#DIV/0!</v>
      </c>
      <c r="P38" s="561"/>
      <c r="Q38" s="24"/>
      <c r="R38" s="400"/>
    </row>
    <row r="39" spans="3:25" ht="15.75" x14ac:dyDescent="0.25">
      <c r="E39" s="1737"/>
      <c r="F39" s="1737"/>
      <c r="G39" s="1737"/>
      <c r="H39" s="1737"/>
      <c r="J39" s="17" t="s">
        <v>163</v>
      </c>
      <c r="K39" s="18" t="e">
        <f>ROUND(N14*IF(L44&gt;0,VLOOKUP(L44,C64:E67,3,TRUE),D49),0)</f>
        <v>#DIV/0!</v>
      </c>
      <c r="L39" s="888" t="e">
        <f>K39/N7</f>
        <v>#DIV/0!</v>
      </c>
      <c r="M39" s="18"/>
      <c r="N39" s="18" t="e">
        <f>ROUND(T14*IF(N34&gt;0,VLOOKUP(N34,C64:E67,3,TRUE),D54),0)</f>
        <v>#DIV/0!</v>
      </c>
      <c r="O39" s="943" t="e">
        <f>N39/T7</f>
        <v>#DIV/0!</v>
      </c>
      <c r="P39" s="570"/>
      <c r="Q39" s="24"/>
    </row>
    <row r="40" spans="3:25" ht="15.75" x14ac:dyDescent="0.25">
      <c r="E40" s="1737"/>
      <c r="F40" s="1737"/>
      <c r="G40" s="1737"/>
      <c r="H40" s="1737"/>
      <c r="J40" s="17" t="s">
        <v>1108</v>
      </c>
      <c r="K40" s="18" t="e">
        <f>ROUND(S14*E44*VLOOKUP(K36,C68:E71,3,TRUE),0)</f>
        <v>#DIV/0!</v>
      </c>
      <c r="L40" s="888" t="e">
        <f>K40/S7</f>
        <v>#DIV/0!</v>
      </c>
      <c r="M40" s="18"/>
      <c r="N40" s="18" t="e">
        <f>ROUND(M14*E45*VLOOKUP(N36,C68:E71,3,TRUE),0)</f>
        <v>#DIV/0!</v>
      </c>
      <c r="O40" s="943" t="e">
        <f>N40/M7</f>
        <v>#DIV/0!</v>
      </c>
      <c r="P40" s="570"/>
      <c r="Q40" s="24"/>
    </row>
    <row r="41" spans="3:25" ht="16.5" thickBot="1" x14ac:dyDescent="0.3">
      <c r="J41" s="19" t="s">
        <v>1109</v>
      </c>
      <c r="K41" s="663" t="e">
        <f>ROUND(Q14*E44*VLOOKUP(K37,C64:E67,3,TRUE),0)</f>
        <v>#DIV/0!</v>
      </c>
      <c r="L41" s="944" t="e">
        <f>K41/Q7</f>
        <v>#DIV/0!</v>
      </c>
      <c r="M41" s="663"/>
      <c r="N41" s="663" t="e">
        <f>ROUND(K14*E44*VLOOKUP(N37,C64:E67,3,TRUE),0)</f>
        <v>#DIV/0!</v>
      </c>
      <c r="O41" s="945" t="e">
        <f>N41/K7</f>
        <v>#DIV/0!</v>
      </c>
      <c r="P41" s="666"/>
      <c r="Q41" s="24"/>
    </row>
    <row r="42" spans="3:25" ht="16.5" thickBot="1" x14ac:dyDescent="0.3">
      <c r="C42" s="946" t="s">
        <v>164</v>
      </c>
      <c r="D42" s="947"/>
      <c r="E42" s="948"/>
      <c r="J42" s="461" t="s">
        <v>165</v>
      </c>
      <c r="K42" s="949" t="e">
        <f>MAX((K38+K39)/(K33+K34),K40/K36)+MAX(N38/N33,K41/K37)</f>
        <v>#DIV/0!</v>
      </c>
      <c r="L42" s="21"/>
      <c r="M42" s="950"/>
      <c r="N42" s="951" t="e">
        <f>MAX((N38+N39)/(N33+N34),N40/N36)+MAX(K38/K33,N41/N37)</f>
        <v>#DIV/0!</v>
      </c>
      <c r="P42" s="526"/>
      <c r="T42" s="29"/>
      <c r="U42" s="29"/>
      <c r="X42" s="30"/>
      <c r="Y42" s="30"/>
    </row>
    <row r="43" spans="3:25" ht="27" customHeight="1" thickBot="1" x14ac:dyDescent="0.3">
      <c r="C43" s="1738" t="s">
        <v>166</v>
      </c>
      <c r="D43" s="1739"/>
      <c r="E43" s="1740"/>
      <c r="F43" s="21"/>
      <c r="G43" s="21"/>
      <c r="H43" s="1741" t="s">
        <v>167</v>
      </c>
      <c r="J43" s="560" t="s">
        <v>168</v>
      </c>
      <c r="K43" s="952" t="e">
        <f>IF(L44=0,K38+K39,K38)/((K33-L44)*$O$29)</f>
        <v>#DIV/0!</v>
      </c>
      <c r="L43" s="941" t="e">
        <f>IF(K34=0,K38/((K33-L44)*$O$29),K43)</f>
        <v>#DIV/0!</v>
      </c>
      <c r="M43" s="953" t="s">
        <v>169</v>
      </c>
      <c r="N43" s="952" t="e">
        <f>IF(O44=0,N38+N39,N38)/((N33-O44)*$O$29)</f>
        <v>#DIV/0!</v>
      </c>
      <c r="O43" s="941" t="e">
        <f>IF(N34=0,N38/((N33-O44)*$O$29),N43)</f>
        <v>#DIV/0!</v>
      </c>
      <c r="P43" s="953" t="s">
        <v>169</v>
      </c>
      <c r="Q43" s="954"/>
      <c r="T43" s="309"/>
      <c r="U43" s="309"/>
      <c r="X43" s="400"/>
      <c r="Y43" s="400"/>
    </row>
    <row r="44" spans="3:25" ht="16.5" customHeight="1" x14ac:dyDescent="0.25">
      <c r="C44" s="955" t="s">
        <v>170</v>
      </c>
      <c r="D44" s="956"/>
      <c r="E44" s="880">
        <v>1.05</v>
      </c>
      <c r="F44" s="21"/>
      <c r="G44" s="21"/>
      <c r="H44" s="1742"/>
      <c r="J44" s="17" t="s">
        <v>171</v>
      </c>
      <c r="K44" s="957" t="e">
        <f>IF(L44=0,0,K39/(L44*$O$29))</f>
        <v>#DIV/0!</v>
      </c>
      <c r="L44" s="958" t="e">
        <f>IF(K34&gt;0,K34,IF(D49&lt;&gt;D50,1,0))</f>
        <v>#DIV/0!</v>
      </c>
      <c r="M44" s="888" t="s">
        <v>172</v>
      </c>
      <c r="N44" s="957" t="e">
        <f>IF(O44=0,0,N39/(O44*$O$29))</f>
        <v>#DIV/0!</v>
      </c>
      <c r="O44" s="959" t="e">
        <f>IF(N34&gt;0,N34,IF(D54&lt;&gt;D55,1,0))</f>
        <v>#DIV/0!</v>
      </c>
      <c r="P44" s="960" t="s">
        <v>173</v>
      </c>
      <c r="Q44" s="954"/>
      <c r="T44" s="29"/>
      <c r="U44" s="29"/>
      <c r="X44" s="30"/>
      <c r="Y44" s="30"/>
    </row>
    <row r="45" spans="3:25" ht="15.75" thickBot="1" x14ac:dyDescent="0.3">
      <c r="C45" s="961" t="s">
        <v>174</v>
      </c>
      <c r="D45" s="962"/>
      <c r="E45" s="963">
        <f>1.05</f>
        <v>1.05</v>
      </c>
      <c r="H45" s="1742"/>
      <c r="J45" s="17" t="s">
        <v>1110</v>
      </c>
      <c r="K45" s="957" t="e">
        <f>K40/(K36*$O$29)</f>
        <v>#DIV/0!</v>
      </c>
      <c r="L45" s="958" t="e">
        <f>IF(K34=0,K33-L44,K33)</f>
        <v>#DIV/0!</v>
      </c>
      <c r="M45" s="964" t="s">
        <v>175</v>
      </c>
      <c r="N45" s="957" t="e">
        <f>N40/(N36*$O$29)</f>
        <v>#DIV/0!</v>
      </c>
      <c r="O45" s="959" t="e">
        <f>IF(N34=0,N33-O44,N33)</f>
        <v>#DIV/0!</v>
      </c>
      <c r="P45" s="960" t="s">
        <v>175</v>
      </c>
      <c r="Q45" s="954"/>
      <c r="T45" s="309"/>
      <c r="U45" s="965"/>
      <c r="X45" s="400"/>
      <c r="Y45" s="400"/>
    </row>
    <row r="46" spans="3:25" ht="15.75" thickBot="1" x14ac:dyDescent="0.3">
      <c r="H46" s="1743"/>
      <c r="J46" s="19" t="s">
        <v>1111</v>
      </c>
      <c r="K46" s="966" t="e">
        <f>K41/(K37*$O$29)</f>
        <v>#DIV/0!</v>
      </c>
      <c r="L46" s="967"/>
      <c r="M46" s="717"/>
      <c r="N46" s="966" t="e">
        <f>N41/(N37*$O$29)</f>
        <v>#DIV/0!</v>
      </c>
      <c r="O46" s="968"/>
      <c r="P46" s="969"/>
      <c r="Q46" s="954"/>
      <c r="S46" s="970"/>
    </row>
    <row r="47" spans="3:25" ht="16.5" thickBot="1" x14ac:dyDescent="0.3">
      <c r="C47" s="971" t="s">
        <v>176</v>
      </c>
      <c r="D47" s="972"/>
      <c r="J47" s="1744" t="s">
        <v>34</v>
      </c>
      <c r="K47" s="1745"/>
      <c r="L47" s="1745"/>
      <c r="M47" s="1745"/>
      <c r="N47" s="1745"/>
      <c r="O47" s="1745"/>
      <c r="P47" s="1746"/>
      <c r="T47" s="309"/>
      <c r="U47" s="309"/>
    </row>
    <row r="48" spans="3:25" x14ac:dyDescent="0.25">
      <c r="C48" s="17" t="s">
        <v>177</v>
      </c>
      <c r="D48" s="570" t="e">
        <f>(O14+1.1*N14)/K33</f>
        <v>#DIV/0!</v>
      </c>
      <c r="J48" s="560" t="s">
        <v>178</v>
      </c>
      <c r="K48" s="712" t="e">
        <f>MAX(K43,K44,K45)+MAX(O43+N46,K46)</f>
        <v>#DIV/0!</v>
      </c>
      <c r="L48" s="712"/>
      <c r="M48" s="712"/>
      <c r="N48" s="712" t="e">
        <f>MAX(N43,N44,N45)+L43+K46</f>
        <v>#DIV/0!</v>
      </c>
      <c r="O48" s="484"/>
      <c r="P48" s="561"/>
    </row>
    <row r="49" spans="2:30" ht="16.5" thickBot="1" x14ac:dyDescent="0.3">
      <c r="C49" s="17" t="s">
        <v>179</v>
      </c>
      <c r="D49" s="973" t="e">
        <f>IF(N14&gt;D48,1.1,D50)</f>
        <v>#DIV/0!</v>
      </c>
      <c r="J49" s="19" t="s">
        <v>35</v>
      </c>
      <c r="K49" s="671" t="e">
        <f>MAX(X67:X70)</f>
        <v>#DIV/0!</v>
      </c>
      <c r="L49" s="663"/>
      <c r="M49" s="663"/>
      <c r="N49" s="663" t="e">
        <f>ROUND(MAX(X72:X75),0)</f>
        <v>#DIV/0!</v>
      </c>
      <c r="O49" s="248"/>
      <c r="P49" s="666"/>
      <c r="Q49" s="1747" t="s">
        <v>181</v>
      </c>
      <c r="R49" s="1681"/>
      <c r="S49" s="1681"/>
      <c r="T49" s="1681"/>
      <c r="U49" s="1681"/>
      <c r="V49" s="1681"/>
      <c r="W49" s="22"/>
      <c r="X49" s="23"/>
      <c r="Y49" s="23"/>
      <c r="Z49" s="22"/>
      <c r="AA49" s="23"/>
      <c r="AB49" s="23"/>
      <c r="AC49" s="22"/>
      <c r="AD49" s="23"/>
    </row>
    <row r="50" spans="2:30" ht="19.5" thickBot="1" x14ac:dyDescent="0.35">
      <c r="C50" s="19" t="s">
        <v>182</v>
      </c>
      <c r="D50" s="974" t="e">
        <f>D48/(D48-N14*0.1)</f>
        <v>#DIV/0!</v>
      </c>
      <c r="J50" s="975" t="s">
        <v>183</v>
      </c>
      <c r="K50" s="152"/>
      <c r="L50" s="690"/>
      <c r="M50" s="690"/>
      <c r="N50" s="152"/>
      <c r="O50" s="976"/>
      <c r="P50" s="977"/>
      <c r="R50" s="309"/>
      <c r="S50" s="18"/>
      <c r="W50" s="18"/>
      <c r="X50" s="18"/>
      <c r="Y50" s="18"/>
      <c r="Z50" s="18"/>
      <c r="AA50" s="18"/>
      <c r="AB50" s="18"/>
      <c r="AC50" s="18"/>
      <c r="AD50" s="18"/>
    </row>
    <row r="51" spans="2:30" ht="16.5" thickBot="1" x14ac:dyDescent="0.3">
      <c r="J51" s="978" t="s">
        <v>115</v>
      </c>
      <c r="K51" s="10"/>
      <c r="L51" s="979"/>
      <c r="M51" s="979"/>
      <c r="N51" s="10"/>
      <c r="O51" s="658" t="s">
        <v>158</v>
      </c>
      <c r="P51" s="678"/>
      <c r="Q51" s="276" t="s">
        <v>184</v>
      </c>
      <c r="R51" s="21"/>
      <c r="W51" s="18"/>
      <c r="X51" s="18"/>
      <c r="Y51" s="18"/>
      <c r="Z51" s="18"/>
      <c r="AA51" s="18"/>
      <c r="AB51" s="18"/>
      <c r="AC51" s="18"/>
      <c r="AD51" s="18"/>
    </row>
    <row r="52" spans="2:30" ht="15.75" x14ac:dyDescent="0.25">
      <c r="C52" s="955" t="s">
        <v>185</v>
      </c>
      <c r="D52" s="814"/>
      <c r="H52" s="980" t="s">
        <v>1138</v>
      </c>
      <c r="J52" s="818" t="s">
        <v>186</v>
      </c>
      <c r="K52" s="9"/>
      <c r="L52" s="29"/>
      <c r="M52" s="29"/>
      <c r="N52" s="9"/>
      <c r="O52" s="18" t="s">
        <v>158</v>
      </c>
      <c r="P52" s="578"/>
      <c r="R52" s="31"/>
      <c r="S52" s="981" t="s">
        <v>187</v>
      </c>
      <c r="U52" s="981" t="s">
        <v>188</v>
      </c>
      <c r="V52" s="802"/>
      <c r="W52" s="24"/>
      <c r="X52" s="24"/>
      <c r="Y52" s="24"/>
      <c r="Z52" s="24"/>
      <c r="AA52" s="24"/>
      <c r="AB52" s="24"/>
      <c r="AC52" s="24"/>
      <c r="AD52" s="24"/>
    </row>
    <row r="53" spans="2:30" ht="16.5" thickBot="1" x14ac:dyDescent="0.3">
      <c r="C53" s="17" t="s">
        <v>177</v>
      </c>
      <c r="D53" s="982" t="e">
        <f>(U14+1.1*T14)/N33</f>
        <v>#DIV/0!</v>
      </c>
      <c r="H53" s="983" t="s">
        <v>1139</v>
      </c>
      <c r="J53" s="818" t="s">
        <v>189</v>
      </c>
      <c r="K53" s="9"/>
      <c r="L53" s="29"/>
      <c r="M53" s="29"/>
      <c r="N53" s="9"/>
      <c r="O53" s="18" t="s">
        <v>158</v>
      </c>
      <c r="P53" s="578"/>
      <c r="R53" s="1748"/>
      <c r="S53" s="1748"/>
      <c r="T53" s="1748"/>
      <c r="U53" s="1748"/>
      <c r="V53" s="1748"/>
      <c r="W53" s="1748"/>
      <c r="X53" s="18"/>
      <c r="Y53" s="18"/>
      <c r="Z53" s="24"/>
      <c r="AA53" s="18"/>
      <c r="AB53" s="18"/>
      <c r="AC53" s="24"/>
      <c r="AD53" s="18"/>
    </row>
    <row r="54" spans="2:30" ht="16.5" thickBot="1" x14ac:dyDescent="0.3">
      <c r="C54" s="17" t="s">
        <v>179</v>
      </c>
      <c r="D54" s="973" t="e">
        <f>IF(T14&gt;D53,1.1,D55)</f>
        <v>#DIV/0!</v>
      </c>
      <c r="J54" s="818" t="s">
        <v>190</v>
      </c>
      <c r="K54" s="9"/>
      <c r="L54" s="29"/>
      <c r="M54" s="30"/>
      <c r="N54" s="9"/>
      <c r="O54" s="18" t="s">
        <v>158</v>
      </c>
      <c r="P54" s="570"/>
      <c r="V54" s="802"/>
      <c r="W54" s="18"/>
      <c r="X54" s="18"/>
      <c r="Y54" s="18"/>
      <c r="Z54" s="24"/>
      <c r="AA54" s="18"/>
      <c r="AB54" s="18"/>
      <c r="AC54" s="18"/>
      <c r="AD54" s="18"/>
    </row>
    <row r="55" spans="2:30" ht="16.5" thickBot="1" x14ac:dyDescent="0.3">
      <c r="C55" s="19" t="s">
        <v>191</v>
      </c>
      <c r="D55" s="974" t="e">
        <f>D53/(D53-T14*0.1)</f>
        <v>#DIV/0!</v>
      </c>
      <c r="J55" s="984" t="s">
        <v>115</v>
      </c>
      <c r="K55" s="985" t="e">
        <f>D14*K51+(1-D14)*IF(VLOOKUP(1,U67:AB70,5,FALSE)=0,K57+5,MAX(K43,K44)/K48*(K50-VLOOKUP(1,U67:AB70,2,FALSE)))</f>
        <v>#N/A</v>
      </c>
      <c r="L55" s="986"/>
      <c r="M55" s="986"/>
      <c r="N55" s="985" t="e">
        <f>D14*N51+(1-D14)*IF(VLOOKUP(1,$U$72:$AB$75,5,FALSE)=0,N57+5,MAX(N43,N44,N45)/N48*(N50-VLOOKUP(1,$U$72:$AB$75,2,FALSE)))</f>
        <v>#N/A</v>
      </c>
      <c r="O55" s="484"/>
      <c r="P55" s="561"/>
      <c r="S55" s="24"/>
      <c r="T55" s="18"/>
      <c r="U55" s="18"/>
      <c r="V55" s="24"/>
      <c r="W55" s="18"/>
      <c r="X55" s="18"/>
      <c r="Y55" s="18"/>
      <c r="Z55" s="24"/>
      <c r="AA55" s="18"/>
      <c r="AB55" s="18"/>
      <c r="AC55" s="18"/>
      <c r="AD55" s="18"/>
    </row>
    <row r="56" spans="2:30" ht="16.5" thickBot="1" x14ac:dyDescent="0.3">
      <c r="J56" s="987" t="s">
        <v>186</v>
      </c>
      <c r="K56" s="988" t="e">
        <f>D14*K52+(1-D14)*IF(VLOOKUP(1,U67:AB70,7,FALSE)=1,(O43+N46)/K48*(K50-VLOOKUP(1,U67:AB70,2,FALSE)),K58+5)</f>
        <v>#N/A</v>
      </c>
      <c r="L56" s="989"/>
      <c r="M56" s="989"/>
      <c r="N56" s="988" t="e">
        <f>D14*N52+(1-D14)*IF(VLOOKUP(1,$U$72:$AB$75,7,FALSE)=0,N58+5,(L43+K46)/N48*(N50-VLOOKUP(1,$U$72:$AB$75,2,FALSE)))</f>
        <v>#N/A</v>
      </c>
      <c r="P56" s="570"/>
      <c r="S56" s="24"/>
      <c r="T56" s="29"/>
      <c r="U56" s="29"/>
      <c r="V56" s="24"/>
      <c r="W56" s="18"/>
      <c r="X56" s="18"/>
      <c r="Y56" s="18"/>
      <c r="Z56" s="24"/>
      <c r="AA56" s="18"/>
      <c r="AB56" s="18"/>
      <c r="AC56" s="18"/>
      <c r="AD56" s="18"/>
    </row>
    <row r="57" spans="2:30" ht="15.75" x14ac:dyDescent="0.25">
      <c r="H57" s="980" t="s">
        <v>192</v>
      </c>
      <c r="J57" s="987" t="s">
        <v>189</v>
      </c>
      <c r="K57" s="988" t="e">
        <f>D14*K53+(1-D14)*IF(VLOOKUP(1,U67:AB70,6,FALSE)=1,K45/K48*(K50-VLOOKUP(1,U67:AB70,2,FALSE)),K55-5)</f>
        <v>#N/A</v>
      </c>
      <c r="L57" s="989"/>
      <c r="M57" s="989"/>
      <c r="N57" s="988" t="e">
        <f>D14*N53+(1-D14)*IF(VLOOKUP(1,$U$72:$AB$75,6,FALSE)=0,N55-5,N45/N48*(N50-VLOOKUP(1,$U$72:$AB$75,2,FALSE)))</f>
        <v>#N/A</v>
      </c>
      <c r="P57" s="570"/>
      <c r="S57" s="24"/>
      <c r="T57" s="29"/>
      <c r="U57" s="29"/>
      <c r="V57" s="24"/>
      <c r="W57" s="18"/>
      <c r="X57" s="18"/>
      <c r="Y57" s="18"/>
      <c r="Z57" s="24"/>
      <c r="AA57" s="18"/>
      <c r="AB57" s="18"/>
      <c r="AC57" s="18"/>
      <c r="AD57" s="18"/>
    </row>
    <row r="58" spans="2:30" ht="16.5" thickBot="1" x14ac:dyDescent="0.3">
      <c r="H58" s="983" t="s">
        <v>193</v>
      </c>
      <c r="J58" s="987" t="s">
        <v>194</v>
      </c>
      <c r="K58" s="988" t="e">
        <f>D14*K54+(1-D14)*IF(VLOOKUP(1,U67:AB70,8,FALSE)=1,K46/K48*(K50-VLOOKUP(1,U67:AB70,2,FALSE)),K56-5)</f>
        <v>#N/A</v>
      </c>
      <c r="L58" s="989"/>
      <c r="M58" s="989"/>
      <c r="N58" s="988" t="e">
        <f>D14*N54+(1-D14)*IF(VLOOKUP(1,$U$72:$AB$75,8,FALSE)=0,N56-5,N46/N48*(N50-VLOOKUP(1,$U$72:$AB$75,2,FALSE)))</f>
        <v>#N/A</v>
      </c>
      <c r="P58" s="570"/>
      <c r="S58" s="24"/>
      <c r="T58" s="30"/>
      <c r="U58" s="30"/>
      <c r="V58" s="24"/>
      <c r="W58" s="18"/>
      <c r="X58" s="18"/>
      <c r="Y58" s="18"/>
      <c r="Z58" s="24"/>
      <c r="AA58" s="18"/>
      <c r="AB58" s="18"/>
      <c r="AC58" s="18"/>
      <c r="AD58" s="18"/>
    </row>
    <row r="59" spans="2:30" ht="16.5" thickBot="1" x14ac:dyDescent="0.3">
      <c r="B59" t="s">
        <v>195</v>
      </c>
      <c r="J59" s="1749" t="s">
        <v>124</v>
      </c>
      <c r="K59" s="1750"/>
      <c r="L59" s="1750"/>
      <c r="M59" s="1750"/>
      <c r="N59" s="1750"/>
      <c r="O59" s="1750"/>
      <c r="P59" s="1751"/>
      <c r="Q59" s="399"/>
      <c r="R59" s="514"/>
      <c r="S59" s="991" t="s">
        <v>196</v>
      </c>
      <c r="U59" s="992" t="s">
        <v>197</v>
      </c>
      <c r="V59" s="276"/>
      <c r="W59" s="276"/>
      <c r="X59" s="276"/>
      <c r="Y59" s="18"/>
      <c r="Z59" s="24"/>
      <c r="AA59" s="18"/>
      <c r="AB59" s="18"/>
      <c r="AC59" s="18"/>
      <c r="AD59" s="18"/>
    </row>
    <row r="60" spans="2:30" ht="18.75" x14ac:dyDescent="0.3">
      <c r="B60" s="560" t="s">
        <v>198</v>
      </c>
      <c r="C60" s="484">
        <v>1</v>
      </c>
      <c r="D60" s="484">
        <v>1</v>
      </c>
      <c r="E60" s="561">
        <v>1</v>
      </c>
      <c r="J60" s="560" t="s">
        <v>199</v>
      </c>
      <c r="K60" s="993" t="e">
        <f>IF(L44=0,K43,L43)/(K55/K50)</f>
        <v>#DIV/0!</v>
      </c>
      <c r="L60" s="994" t="e">
        <f>$O$29*K33*K55/K$50</f>
        <v>#N/A</v>
      </c>
      <c r="M60" s="993"/>
      <c r="N60" s="993" t="e">
        <f>IF(O44=0,N43,O43)/(N55/N50)</f>
        <v>#DIV/0!</v>
      </c>
      <c r="O60" s="994" t="e">
        <f>$O$29*N33*N55/N$50</f>
        <v>#N/A</v>
      </c>
      <c r="P60" s="561"/>
      <c r="Q60" s="995"/>
      <c r="S60" s="24"/>
      <c r="T60" s="18"/>
      <c r="U60" s="18"/>
      <c r="V60" s="24"/>
      <c r="W60" s="24"/>
      <c r="X60" s="18"/>
      <c r="Y60" s="18"/>
      <c r="Z60" s="24"/>
      <c r="AA60" s="18"/>
      <c r="AB60" s="18"/>
      <c r="AC60" s="24"/>
      <c r="AD60" s="18"/>
    </row>
    <row r="61" spans="2:30" ht="15.75" x14ac:dyDescent="0.25">
      <c r="B61" s="17" t="s">
        <v>22</v>
      </c>
      <c r="C61">
        <v>2</v>
      </c>
      <c r="D61">
        <v>0.95199999999999996</v>
      </c>
      <c r="E61" s="570">
        <f>1/D61</f>
        <v>1.0504201680672269</v>
      </c>
      <c r="H61" s="996"/>
      <c r="J61" s="714" t="s">
        <v>1122</v>
      </c>
      <c r="K61" s="997" t="e">
        <f>IF(L44=0,0,K44/(K55/K50))</f>
        <v>#DIV/0!</v>
      </c>
      <c r="L61" s="998" t="e">
        <f>IF(L44=0,0,K39/K61)</f>
        <v>#DIV/0!</v>
      </c>
      <c r="M61" s="999"/>
      <c r="N61" s="997" t="e">
        <f>IF(O44=0,0,N44/(N55/N50))</f>
        <v>#DIV/0!</v>
      </c>
      <c r="O61" s="998" t="e">
        <f>IF(O44=0,0,N39/N61)</f>
        <v>#DIV/0!</v>
      </c>
      <c r="P61" s="570"/>
      <c r="R61" s="1681"/>
      <c r="S61" s="1681"/>
      <c r="T61" s="1681"/>
      <c r="U61" s="1681"/>
      <c r="V61" s="24"/>
      <c r="W61" s="25"/>
      <c r="X61" s="25"/>
      <c r="Y61" s="25"/>
      <c r="Z61" s="25"/>
      <c r="AA61" s="25"/>
      <c r="AB61" s="25"/>
      <c r="AC61" s="25"/>
      <c r="AD61" s="25"/>
    </row>
    <row r="62" spans="2:30" ht="15.75" x14ac:dyDescent="0.25">
      <c r="B62" s="17" t="s">
        <v>23</v>
      </c>
      <c r="C62">
        <v>3</v>
      </c>
      <c r="D62">
        <v>0.90800000000000003</v>
      </c>
      <c r="E62" s="570">
        <f t="shared" ref="E62" si="2">1/D62</f>
        <v>1.1013215859030836</v>
      </c>
      <c r="J62" s="17" t="s">
        <v>1121</v>
      </c>
      <c r="K62" s="997" t="e">
        <f>(O43+N46)/(K56/K50)</f>
        <v>#DIV/0!</v>
      </c>
      <c r="L62" s="998" t="e">
        <f>$O$29*(N33-N35)*K56/K$50</f>
        <v>#N/A</v>
      </c>
      <c r="M62" s="997"/>
      <c r="N62" s="997" t="e">
        <f>(L43+K46)/(N56/N50)</f>
        <v>#DIV/0!</v>
      </c>
      <c r="O62" s="998" t="e">
        <f>$O$29*(K33-K35)*N56/N$50</f>
        <v>#N/A</v>
      </c>
      <c r="P62" s="570"/>
      <c r="S62" s="24"/>
      <c r="T62" s="29"/>
      <c r="U62" s="29"/>
      <c r="V62" s="24"/>
      <c r="W62" s="26"/>
      <c r="X62" s="26"/>
      <c r="Y62" s="26"/>
      <c r="Z62" s="25"/>
      <c r="AA62" s="26"/>
      <c r="AB62" s="26"/>
      <c r="AC62" s="26"/>
      <c r="AD62" s="26"/>
    </row>
    <row r="63" spans="2:30" ht="16.5" thickBot="1" x14ac:dyDescent="0.3">
      <c r="B63" s="19" t="s">
        <v>200</v>
      </c>
      <c r="C63" s="248">
        <v>4</v>
      </c>
      <c r="D63" s="248">
        <v>0.88</v>
      </c>
      <c r="E63" s="666">
        <f>1/D63</f>
        <v>1.1363636363636365</v>
      </c>
      <c r="J63" s="17" t="s">
        <v>1112</v>
      </c>
      <c r="K63" s="997" t="e">
        <f>K45/(K57/K50)</f>
        <v>#DIV/0!</v>
      </c>
      <c r="L63" s="998" t="e">
        <f>$O$29*K57*K36/K$50</f>
        <v>#N/A</v>
      </c>
      <c r="M63" s="997"/>
      <c r="N63" s="997" t="e">
        <f>N45/(N57/N50)</f>
        <v>#DIV/0!</v>
      </c>
      <c r="O63" s="998" t="e">
        <f>$O$29*N57*N36/N$50</f>
        <v>#N/A</v>
      </c>
      <c r="P63" s="570"/>
      <c r="Q63" s="309"/>
      <c r="R63" s="1000"/>
      <c r="S63" s="24"/>
      <c r="T63" s="30"/>
      <c r="U63" s="30"/>
      <c r="V63" s="24"/>
      <c r="W63" s="26"/>
      <c r="X63" s="26"/>
      <c r="Y63" s="26"/>
      <c r="Z63" s="25"/>
      <c r="AA63" s="26"/>
      <c r="AB63" s="26"/>
      <c r="AC63" s="26"/>
      <c r="AD63" s="26"/>
    </row>
    <row r="64" spans="2:30" ht="16.5" thickBot="1" x14ac:dyDescent="0.3">
      <c r="B64" s="560" t="s">
        <v>201</v>
      </c>
      <c r="C64" s="484">
        <v>1</v>
      </c>
      <c r="D64" s="484">
        <v>1</v>
      </c>
      <c r="E64" s="561">
        <v>1</v>
      </c>
      <c r="J64" s="17" t="s">
        <v>1113</v>
      </c>
      <c r="K64" s="997" t="e">
        <f>K46/(K58/K50)</f>
        <v>#DIV/0!</v>
      </c>
      <c r="L64" s="998" t="e">
        <f>$O$29*K58*K37/K$50</f>
        <v>#N/A</v>
      </c>
      <c r="M64" s="997"/>
      <c r="N64" s="997" t="e">
        <f>N46/(N58/N50)</f>
        <v>#DIV/0!</v>
      </c>
      <c r="O64" s="998" t="e">
        <f>$O$29*N58*N37/N$50</f>
        <v>#N/A</v>
      </c>
      <c r="P64" s="570"/>
      <c r="Q64" s="309"/>
      <c r="R64" s="18"/>
      <c r="S64" s="25"/>
      <c r="V64" s="803"/>
      <c r="W64" s="25"/>
      <c r="X64" s="25"/>
      <c r="Y64" s="25"/>
      <c r="Z64" s="25"/>
      <c r="AA64" s="25"/>
      <c r="AB64" s="25"/>
      <c r="AC64" s="25"/>
      <c r="AD64" s="25"/>
    </row>
    <row r="65" spans="2:30" ht="15.75" thickBot="1" x14ac:dyDescent="0.3">
      <c r="B65" s="17" t="s">
        <v>25</v>
      </c>
      <c r="C65">
        <v>2</v>
      </c>
      <c r="D65">
        <v>0.97</v>
      </c>
      <c r="E65" s="570">
        <f t="shared" ref="E65:E71" si="3">1/D65</f>
        <v>1.0309278350515465</v>
      </c>
      <c r="G65" s="315" t="s">
        <v>946</v>
      </c>
      <c r="H65" s="316" t="s">
        <v>948</v>
      </c>
      <c r="J65" s="560" t="s">
        <v>202</v>
      </c>
      <c r="K65" s="713">
        <v>1</v>
      </c>
      <c r="L65" s="713"/>
      <c r="M65" s="713"/>
      <c r="N65" s="713">
        <v>1</v>
      </c>
      <c r="O65" s="484"/>
      <c r="P65" s="561"/>
      <c r="Q65" s="309"/>
      <c r="R65" s="1731" t="s">
        <v>203</v>
      </c>
      <c r="S65" s="1732"/>
      <c r="T65" s="1732"/>
      <c r="U65" s="1732"/>
      <c r="V65" s="1732"/>
      <c r="W65" s="1732"/>
      <c r="X65" s="1732"/>
      <c r="Y65" s="1732"/>
      <c r="Z65" s="1732"/>
      <c r="AA65" s="1732"/>
      <c r="AB65" s="1733"/>
    </row>
    <row r="66" spans="2:30" ht="15.75" thickBot="1" x14ac:dyDescent="0.3">
      <c r="B66" s="17" t="s">
        <v>24</v>
      </c>
      <c r="C66">
        <v>3</v>
      </c>
      <c r="D66">
        <v>0.9</v>
      </c>
      <c r="E66" s="570">
        <f t="shared" si="3"/>
        <v>1.1111111111111112</v>
      </c>
      <c r="G66" s="317">
        <v>1</v>
      </c>
      <c r="H66" s="318">
        <v>0.33</v>
      </c>
      <c r="J66" s="17" t="s">
        <v>204</v>
      </c>
      <c r="K66" s="308" t="e">
        <f>MAX(0,(1-VLOOKUP($D$15,$G$66:$H$71,2,FALSE)*K55/$K$50)/(1-K55/$K$50))</f>
        <v>#N/A</v>
      </c>
      <c r="L66" s="308"/>
      <c r="M66" s="308"/>
      <c r="N66" s="308" t="e">
        <f>MAX(0,(1-VLOOKUP($D$15,$G$66:$H$71,2,FALSE)*N55/$N$50)/(1-N55/$N$50))</f>
        <v>#N/A</v>
      </c>
      <c r="P66" s="570"/>
      <c r="Q66" s="309"/>
      <c r="R66" s="1001" t="s">
        <v>205</v>
      </c>
      <c r="T66" s="227"/>
      <c r="U66" s="227" t="s">
        <v>206</v>
      </c>
      <c r="V66" s="227" t="s">
        <v>9</v>
      </c>
      <c r="W66" s="227"/>
      <c r="X66" s="227" t="s">
        <v>18</v>
      </c>
      <c r="Y66" s="227" t="s">
        <v>196</v>
      </c>
      <c r="Z66" s="227" t="s">
        <v>207</v>
      </c>
      <c r="AA66" s="227" t="s">
        <v>197</v>
      </c>
      <c r="AB66" s="526" t="s">
        <v>208</v>
      </c>
    </row>
    <row r="67" spans="2:30" ht="16.5" thickBot="1" x14ac:dyDescent="0.3">
      <c r="B67" s="19" t="s">
        <v>209</v>
      </c>
      <c r="C67" s="248">
        <v>4</v>
      </c>
      <c r="D67" s="248">
        <v>0.88</v>
      </c>
      <c r="E67" s="666">
        <f t="shared" si="3"/>
        <v>1.1363636363636365</v>
      </c>
      <c r="G67" s="317">
        <v>2</v>
      </c>
      <c r="H67" s="318">
        <v>0.67</v>
      </c>
      <c r="J67" s="17" t="s">
        <v>1114</v>
      </c>
      <c r="K67" s="308">
        <v>1</v>
      </c>
      <c r="L67" s="308"/>
      <c r="M67" s="308"/>
      <c r="N67" s="308">
        <v>1</v>
      </c>
      <c r="P67" s="570"/>
      <c r="Q67" s="24"/>
      <c r="R67" s="560" t="s">
        <v>210</v>
      </c>
      <c r="S67" s="561"/>
      <c r="T67" s="1002" t="e">
        <f>MAX(K43,K44)+O43+N46</f>
        <v>#DIV/0!</v>
      </c>
      <c r="U67" s="484" t="e">
        <f>IF(T67=MAX($T$67,$T$68,$T$69,$T$70),1,0)</f>
        <v>#DIV/0!</v>
      </c>
      <c r="V67" s="631">
        <f>10</f>
        <v>10</v>
      </c>
      <c r="W67" s="484">
        <v>0</v>
      </c>
      <c r="X67" s="484" t="e">
        <f>IF(T67&gt;0.85-0.85*V67/$D$12,$D$12,MAX($D$11,0.85*V67/(0.85-T67)))*U67</f>
        <v>#DIV/0!</v>
      </c>
      <c r="Y67" s="484">
        <v>1</v>
      </c>
      <c r="Z67" s="484">
        <v>0</v>
      </c>
      <c r="AA67" s="484">
        <v>1</v>
      </c>
      <c r="AB67" s="561">
        <v>0</v>
      </c>
    </row>
    <row r="68" spans="2:30" ht="16.5" thickBot="1" x14ac:dyDescent="0.3">
      <c r="B68" s="560" t="s">
        <v>211</v>
      </c>
      <c r="C68" s="484">
        <v>1</v>
      </c>
      <c r="D68" s="484">
        <v>1</v>
      </c>
      <c r="E68" s="561">
        <f t="shared" si="3"/>
        <v>1</v>
      </c>
      <c r="G68" s="317">
        <v>3</v>
      </c>
      <c r="H68" s="318">
        <v>1</v>
      </c>
      <c r="J68" s="19" t="s">
        <v>1115</v>
      </c>
      <c r="K68" s="718">
        <v>1</v>
      </c>
      <c r="L68" s="718"/>
      <c r="M68" s="718"/>
      <c r="N68" s="718">
        <v>1</v>
      </c>
      <c r="O68" s="248"/>
      <c r="P68" s="666"/>
      <c r="Q68" s="24"/>
      <c r="R68" s="17" t="s">
        <v>212</v>
      </c>
      <c r="S68" s="570"/>
      <c r="T68" s="400" t="e">
        <f>MAX(K43,K44)+K46</f>
        <v>#DIV/0!</v>
      </c>
      <c r="U68" t="e">
        <f t="shared" ref="U68:U70" si="4">IF(T68=MAX($T$67,$T$68,$T$69,$T$70),1,0)</f>
        <v>#DIV/0!</v>
      </c>
      <c r="V68" s="21">
        <v>15</v>
      </c>
      <c r="W68">
        <v>0</v>
      </c>
      <c r="X68" t="e">
        <f t="shared" ref="X68:X70" si="5">IF(T68&gt;0.85-0.85*V68/$D$12,$D$12,MAX($D$11,0.85*V68/(0.85-T68)))*U68</f>
        <v>#DIV/0!</v>
      </c>
      <c r="Y68">
        <v>1</v>
      </c>
      <c r="Z68">
        <v>0</v>
      </c>
      <c r="AA68">
        <v>0</v>
      </c>
      <c r="AB68" s="570">
        <v>1</v>
      </c>
    </row>
    <row r="69" spans="2:30" ht="19.5" thickBot="1" x14ac:dyDescent="0.35">
      <c r="B69" s="17" t="s">
        <v>213</v>
      </c>
      <c r="C69">
        <v>2</v>
      </c>
      <c r="D69">
        <v>0.88500000000000001</v>
      </c>
      <c r="E69" s="570">
        <f t="shared" si="3"/>
        <v>1.1299435028248588</v>
      </c>
      <c r="G69" s="317">
        <v>4</v>
      </c>
      <c r="H69" s="318">
        <v>1.33</v>
      </c>
      <c r="J69" s="461"/>
      <c r="K69" s="1003" t="str">
        <f>K32</f>
        <v>WB</v>
      </c>
      <c r="L69" s="924" t="s">
        <v>920</v>
      </c>
      <c r="M69" s="924" t="s">
        <v>920</v>
      </c>
      <c r="N69" s="1003" t="str">
        <f>N32</f>
        <v>SB</v>
      </c>
      <c r="O69" s="924" t="s">
        <v>214</v>
      </c>
      <c r="P69" s="923" t="s">
        <v>215</v>
      </c>
      <c r="Q69" s="18"/>
      <c r="R69" s="17" t="s">
        <v>216</v>
      </c>
      <c r="S69" s="570"/>
      <c r="T69" s="400" t="e">
        <f>K45+O43+N46</f>
        <v>#DIV/0!</v>
      </c>
      <c r="U69" t="e">
        <f t="shared" si="4"/>
        <v>#DIV/0!</v>
      </c>
      <c r="V69" s="21">
        <v>15</v>
      </c>
      <c r="W69">
        <v>0</v>
      </c>
      <c r="X69" t="e">
        <f t="shared" si="5"/>
        <v>#DIV/0!</v>
      </c>
      <c r="Y69">
        <v>0</v>
      </c>
      <c r="Z69">
        <v>1</v>
      </c>
      <c r="AA69">
        <v>1</v>
      </c>
      <c r="AB69" s="570">
        <v>0</v>
      </c>
    </row>
    <row r="70" spans="2:30" ht="16.5" thickBot="1" x14ac:dyDescent="0.3">
      <c r="B70" s="17" t="s">
        <v>217</v>
      </c>
      <c r="C70">
        <v>3</v>
      </c>
      <c r="D70">
        <v>0.8</v>
      </c>
      <c r="E70" s="570">
        <f t="shared" si="3"/>
        <v>1.25</v>
      </c>
      <c r="G70" s="317">
        <v>5</v>
      </c>
      <c r="H70" s="318">
        <v>1.67</v>
      </c>
      <c r="J70" s="17" t="s">
        <v>1116</v>
      </c>
      <c r="K70" s="308" t="e">
        <f>K65*0.5*K50*(1-K55/K50)^2/(1-IF(L44=0,K43,MIN(1,K60)*K55/K50))+225*(K60-1+SQRT((K60-1)^2+16*K60/((K38+IF(L44=0,K39,0)/K60))))</f>
        <v>#N/A</v>
      </c>
      <c r="L70" s="1004"/>
      <c r="M70" s="1005" t="s">
        <v>158</v>
      </c>
      <c r="N70" s="308" t="e">
        <f>N65*0.5*N50*(1-N55/N50)^2/(1-IF(O44=0,N43,O43))+225*(N60-1+SQRT((N60-1)^2+16*N60/((N38+IF(O44=0,N39,0)/N60))))</f>
        <v>#N/A</v>
      </c>
      <c r="O70" s="1004" t="s">
        <v>158</v>
      </c>
      <c r="P70" s="1006" t="s">
        <v>158</v>
      </c>
      <c r="Q70" s="32"/>
      <c r="R70" s="19" t="s">
        <v>218</v>
      </c>
      <c r="S70" s="666"/>
      <c r="T70" s="400" t="e">
        <f>K45+K46</f>
        <v>#DIV/0!</v>
      </c>
      <c r="U70" t="e">
        <f t="shared" si="4"/>
        <v>#DIV/0!</v>
      </c>
      <c r="V70" s="21">
        <v>20</v>
      </c>
      <c r="W70">
        <v>0</v>
      </c>
      <c r="X70" t="e">
        <f t="shared" si="5"/>
        <v>#DIV/0!</v>
      </c>
      <c r="Y70">
        <v>0</v>
      </c>
      <c r="Z70">
        <v>1</v>
      </c>
      <c r="AA70">
        <v>0</v>
      </c>
      <c r="AB70" s="570">
        <v>1</v>
      </c>
    </row>
    <row r="71" spans="2:30" ht="16.5" thickBot="1" x14ac:dyDescent="0.3">
      <c r="B71" s="19" t="s">
        <v>219</v>
      </c>
      <c r="C71" s="248">
        <v>4</v>
      </c>
      <c r="D71" s="248">
        <v>0.75</v>
      </c>
      <c r="E71" s="666">
        <f t="shared" si="3"/>
        <v>1.3333333333333333</v>
      </c>
      <c r="G71" s="330">
        <v>6</v>
      </c>
      <c r="H71" s="331">
        <v>2</v>
      </c>
      <c r="J71" s="17" t="s">
        <v>1117</v>
      </c>
      <c r="K71" s="308" t="e">
        <f>IF(L44=0,0,MAX(MIN(1,L44),0)*(K65*0.5*K50*(1-K55/K50)^2/(1-MIN(1,K61)*K55/K50)))+225*(K61-1+SQRT((K61-1)^2+16*K61/(K39/(K61+0.00001))))</f>
        <v>#DIV/0!</v>
      </c>
      <c r="L71" s="1004"/>
      <c r="M71" s="1005" t="s">
        <v>158</v>
      </c>
      <c r="N71" s="308" t="e">
        <f>IF(O44=0,0,MAX(MIN(1,O44),0)*(N65*0.5*N50*(1-N55/N50)^2/(1-N44))+225*(N61-1+SQRT((N61-1)^2+16*N61/(N39/(N61+0.00001)))))</f>
        <v>#DIV/0!</v>
      </c>
      <c r="O71" s="1004" t="s">
        <v>158</v>
      </c>
      <c r="P71" s="1006" t="s">
        <v>158</v>
      </c>
      <c r="Q71" s="32"/>
      <c r="R71" s="1007" t="s">
        <v>220</v>
      </c>
      <c r="S71" s="570"/>
      <c r="T71" s="461"/>
      <c r="U71" s="227"/>
      <c r="V71" s="227"/>
      <c r="W71" s="227"/>
      <c r="X71" s="227"/>
      <c r="Y71" s="227"/>
      <c r="Z71" s="227"/>
      <c r="AA71" s="227"/>
      <c r="AB71" s="526"/>
    </row>
    <row r="72" spans="2:30" ht="15.75" x14ac:dyDescent="0.25">
      <c r="J72" s="17" t="s">
        <v>1118</v>
      </c>
      <c r="K72" s="308" t="e">
        <f>K66*0.5*K50*(1-K56/K50)^2/(1-O43-N46)+225*(K62-1+SQRT((K62-1)^2+16*K62*F80/((N38+N41)/K62)))</f>
        <v>#N/A</v>
      </c>
      <c r="L72" s="1004"/>
      <c r="M72" s="1005" t="s">
        <v>921</v>
      </c>
      <c r="N72" s="308" t="e">
        <f>N66*0.5*N50*(1-N56/N50)^2/(1-L43-K46)+225*(N62-1+SQRT((N62-1)^2+16*N62*F82/((K38+K41)/N62)))</f>
        <v>#N/A</v>
      </c>
      <c r="O72" s="1004" t="s">
        <v>158</v>
      </c>
      <c r="P72" s="1006" t="s">
        <v>158</v>
      </c>
      <c r="Q72" s="32"/>
      <c r="R72" s="560" t="s">
        <v>210</v>
      </c>
      <c r="S72" s="561"/>
      <c r="T72" s="1008" t="e">
        <f>MAX(N43,N44,N45)+L43+K46</f>
        <v>#DIV/0!</v>
      </c>
      <c r="U72" s="484" t="e">
        <f>IF(T72=MAX($T$72:$T$75),1,0)</f>
        <v>#DIV/0!</v>
      </c>
      <c r="V72" s="631">
        <f>10</f>
        <v>10</v>
      </c>
      <c r="W72" s="484">
        <v>0</v>
      </c>
      <c r="X72" s="1009" t="e">
        <f t="shared" ref="X72:X75" si="6">IF(T72&gt;0.85-0.85*V72/$D$12,$D$12,MAX($D$11,0.85*V72/(0.85-T72)))*U72</f>
        <v>#DIV/0!</v>
      </c>
      <c r="Y72" s="484">
        <v>1</v>
      </c>
      <c r="Z72" s="484">
        <v>0</v>
      </c>
      <c r="AA72" s="484">
        <v>1</v>
      </c>
      <c r="AB72" s="561">
        <v>0</v>
      </c>
    </row>
    <row r="73" spans="2:30" x14ac:dyDescent="0.25">
      <c r="J73" s="17" t="s">
        <v>1119</v>
      </c>
      <c r="K73" s="308" t="e">
        <f>IF($L$5=0,0,K67*0.5*K50*(1-K57/K50)^2/(1-K45)+225*(K63-1+SQRT((K63-1)^2+16*K63/(K40/K63))))</f>
        <v>#N/A</v>
      </c>
      <c r="L73" s="1004"/>
      <c r="M73" s="1005" t="s">
        <v>158</v>
      </c>
      <c r="N73" s="308" t="e">
        <f>IF($L$5=0,0,N67*0.5*N50*(1-N57/N50)^2/(1-N45)+225*(N63-1+SQRT((N63-1)^2+16*N63/(N40/N63))))</f>
        <v>#N/A</v>
      </c>
      <c r="O73" s="1004" t="s">
        <v>158</v>
      </c>
      <c r="P73" s="1006" t="s">
        <v>158</v>
      </c>
      <c r="Q73" s="26"/>
      <c r="R73" s="17" t="s">
        <v>212</v>
      </c>
      <c r="S73" s="570"/>
      <c r="T73" s="1010" t="e">
        <f>MAX(N43,N44)+N46</f>
        <v>#DIV/0!</v>
      </c>
      <c r="U73" t="e">
        <f t="shared" ref="U73:U75" si="7">IF(T73=MAX($T$72:$T$75),1,0)</f>
        <v>#DIV/0!</v>
      </c>
      <c r="V73" s="21">
        <v>15</v>
      </c>
      <c r="W73">
        <v>0</v>
      </c>
      <c r="X73" t="e">
        <f t="shared" si="6"/>
        <v>#DIV/0!</v>
      </c>
      <c r="Y73">
        <v>1</v>
      </c>
      <c r="Z73">
        <v>0</v>
      </c>
      <c r="AA73">
        <v>0</v>
      </c>
      <c r="AB73" s="570">
        <v>1</v>
      </c>
    </row>
    <row r="74" spans="2:30" ht="15.75" thickBot="1" x14ac:dyDescent="0.3">
      <c r="J74" s="17" t="s">
        <v>1120</v>
      </c>
      <c r="K74" s="308" t="e">
        <f>K68*0.5*K50*(1-K58/K50)^2/(1-K46)+225*(K64-1+SQRT((K64-1)^2+16*K64/(K41/K64)))</f>
        <v>#N/A</v>
      </c>
      <c r="L74" s="1004"/>
      <c r="M74" s="1005" t="s">
        <v>158</v>
      </c>
      <c r="N74" s="308" t="e">
        <f>N68*0.5*N50*(1-N58/N50)^2/(1-N46)+225*(N64-1+SQRT((N64-1)^2+16*N64/(N41/N64)))</f>
        <v>#N/A</v>
      </c>
      <c r="O74" s="1004" t="s">
        <v>158</v>
      </c>
      <c r="P74" s="1006" t="s">
        <v>158</v>
      </c>
      <c r="R74" s="17" t="s">
        <v>216</v>
      </c>
      <c r="S74" s="570"/>
      <c r="T74" s="1010" t="e">
        <f>N45+L43</f>
        <v>#DIV/0!</v>
      </c>
      <c r="U74" t="e">
        <f t="shared" si="7"/>
        <v>#DIV/0!</v>
      </c>
      <c r="V74" s="21">
        <v>15</v>
      </c>
      <c r="W74">
        <v>0</v>
      </c>
      <c r="X74" t="e">
        <f t="shared" si="6"/>
        <v>#DIV/0!</v>
      </c>
      <c r="Y74">
        <v>0</v>
      </c>
      <c r="Z74">
        <v>1</v>
      </c>
      <c r="AA74">
        <v>1</v>
      </c>
      <c r="AB74" s="570">
        <v>0</v>
      </c>
    </row>
    <row r="75" spans="2:30" ht="16.5" thickBot="1" x14ac:dyDescent="0.3">
      <c r="J75" s="1011" t="s">
        <v>221</v>
      </c>
      <c r="K75" s="1012" t="e">
        <f>(K70*K38+K71*K39+K72*N38+K73*K40+K74*K41)/(SUM(K38:K41)+N38)</f>
        <v>#N/A</v>
      </c>
      <c r="L75" s="1013"/>
      <c r="M75" s="1013"/>
      <c r="N75" s="1012" t="e">
        <f>(N70*N38+N71*N39+N72*K38+N73*N40+N74*N41)/(SUM(N38:N41)+K38)</f>
        <v>#N/A</v>
      </c>
      <c r="O75" s="1013"/>
      <c r="P75" s="1014"/>
      <c r="R75" s="19" t="s">
        <v>218</v>
      </c>
      <c r="S75" s="666"/>
      <c r="T75" s="1015" t="e">
        <f>N45+N46</f>
        <v>#DIV/0!</v>
      </c>
      <c r="U75" s="248" t="e">
        <f t="shared" si="7"/>
        <v>#DIV/0!</v>
      </c>
      <c r="V75" s="1016">
        <v>20</v>
      </c>
      <c r="W75" s="248">
        <v>0</v>
      </c>
      <c r="X75" s="248" t="e">
        <f t="shared" si="6"/>
        <v>#DIV/0!</v>
      </c>
      <c r="Y75" s="248">
        <v>0</v>
      </c>
      <c r="Z75" s="248">
        <v>1</v>
      </c>
      <c r="AA75" s="248">
        <v>0</v>
      </c>
      <c r="AB75" s="666">
        <v>1</v>
      </c>
    </row>
    <row r="76" spans="2:30" x14ac:dyDescent="0.25">
      <c r="J76" s="17" t="s">
        <v>1125</v>
      </c>
      <c r="K76" s="1017" t="e">
        <f>2*25*K70*L60/(3600*(K33-L44))</f>
        <v>#N/A</v>
      </c>
      <c r="L76" s="308"/>
      <c r="M76" s="1018"/>
      <c r="N76" s="1019" t="e">
        <f>2*25*N70*O60/(3600*(N33-O44))</f>
        <v>#N/A</v>
      </c>
      <c r="O76" s="308"/>
      <c r="P76" s="1020"/>
    </row>
    <row r="77" spans="2:30" ht="15.75" thickBot="1" x14ac:dyDescent="0.3">
      <c r="C77" t="s">
        <v>222</v>
      </c>
      <c r="J77" s="17" t="s">
        <v>1124</v>
      </c>
      <c r="K77" s="1021">
        <f>IF(K34=0,0,2*25*K71*L61/(3600*L44))</f>
        <v>0</v>
      </c>
      <c r="L77" s="308"/>
      <c r="M77" s="1018"/>
      <c r="N77" s="1022" t="str">
        <f>IF(N34=0,"",2*25*N71*O61/(3600*O44))</f>
        <v/>
      </c>
      <c r="O77" s="308"/>
      <c r="P77" s="1020"/>
    </row>
    <row r="78" spans="2:30" ht="15.75" thickBot="1" x14ac:dyDescent="0.3">
      <c r="B78" s="1023" t="s">
        <v>223</v>
      </c>
      <c r="C78" s="1024" t="s">
        <v>224</v>
      </c>
      <c r="D78" s="1024" t="s">
        <v>225</v>
      </c>
      <c r="E78" s="1024" t="s">
        <v>226</v>
      </c>
      <c r="F78" s="685" t="s">
        <v>80</v>
      </c>
      <c r="J78" s="17" t="s">
        <v>1123</v>
      </c>
      <c r="K78" s="1021" t="e">
        <f>2*25*K72*L62/3600</f>
        <v>#N/A</v>
      </c>
      <c r="L78" s="308" t="e">
        <f>IF(K78&gt;$D$10,"LOS-F","OK")</f>
        <v>#N/A</v>
      </c>
      <c r="M78" s="1018"/>
      <c r="N78" s="1022" t="e">
        <f>2*25*N72*O62/3600</f>
        <v>#N/A</v>
      </c>
      <c r="O78" s="308" t="e">
        <f>IF(N78&gt;$D$10,"LOS-F","OK")</f>
        <v>#N/A</v>
      </c>
      <c r="P78" s="1020"/>
      <c r="V78" s="275"/>
      <c r="X78" s="14"/>
      <c r="AA78" s="14"/>
      <c r="AD78" s="14"/>
    </row>
    <row r="79" spans="2:30" x14ac:dyDescent="0.25">
      <c r="B79" s="1025" t="s">
        <v>227</v>
      </c>
      <c r="C79" s="658" t="e">
        <f>U14</f>
        <v>#DIV/0!</v>
      </c>
      <c r="D79" s="712" t="e">
        <f>MIN(1,K62)</f>
        <v>#DIV/0!</v>
      </c>
      <c r="E79" s="658"/>
      <c r="F79" s="678"/>
      <c r="J79" s="17" t="s">
        <v>1126</v>
      </c>
      <c r="K79" s="1021" t="e">
        <f>2*25*K73*L63/(3600*K36)</f>
        <v>#N/A</v>
      </c>
      <c r="L79" s="308"/>
      <c r="M79" s="1018"/>
      <c r="N79" s="1022" t="e">
        <f>2*25*N73*O63/(3600*N36)</f>
        <v>#N/A</v>
      </c>
      <c r="O79" s="308"/>
      <c r="P79" s="1020"/>
      <c r="X79" s="14"/>
      <c r="AA79" s="14"/>
      <c r="AD79" s="14"/>
    </row>
    <row r="80" spans="2:30" ht="15.75" thickBot="1" x14ac:dyDescent="0.3">
      <c r="B80" s="1026" t="s">
        <v>228</v>
      </c>
      <c r="C80" s="663" t="e">
        <f>K14</f>
        <v>#DIV/0!</v>
      </c>
      <c r="D80" s="717" t="e">
        <f>MIN(1,N64)</f>
        <v>#DIV/0!</v>
      </c>
      <c r="E80" s="663" t="e">
        <f>(C79*D79+C80*D80)/(C79+C80)</f>
        <v>#DIV/0!</v>
      </c>
      <c r="F80" s="1027" t="e">
        <f>1-0.91*E80^2.68</f>
        <v>#DIV/0!</v>
      </c>
      <c r="J80" s="19" t="s">
        <v>1127</v>
      </c>
      <c r="K80" s="1028" t="e">
        <f>2*25*K74*L64/(3600*K37)</f>
        <v>#N/A</v>
      </c>
      <c r="L80" s="718"/>
      <c r="M80" s="1029"/>
      <c r="N80" s="1030" t="e">
        <f>2*25*N74*O64/(3600*N37)</f>
        <v>#N/A</v>
      </c>
      <c r="O80" s="718"/>
      <c r="P80" s="1031"/>
      <c r="X80" s="14"/>
      <c r="AA80" s="14"/>
      <c r="AD80" s="14"/>
    </row>
    <row r="81" spans="1:30" x14ac:dyDescent="0.25">
      <c r="B81" s="801" t="s">
        <v>229</v>
      </c>
      <c r="C81" s="18" t="e">
        <f>O14</f>
        <v>#DIV/0!</v>
      </c>
      <c r="D81" s="309" t="e">
        <f>MIN(1,N62)</f>
        <v>#DIV/0!</v>
      </c>
      <c r="E81" s="18"/>
      <c r="F81" s="578"/>
      <c r="X81" s="14"/>
      <c r="AA81" s="14"/>
      <c r="AD81" s="14"/>
    </row>
    <row r="82" spans="1:30" ht="15.75" thickBot="1" x14ac:dyDescent="0.3">
      <c r="B82" s="1026" t="s">
        <v>230</v>
      </c>
      <c r="C82" s="663" t="e">
        <f>Q14</f>
        <v>#DIV/0!</v>
      </c>
      <c r="D82" s="717" t="e">
        <f>MIN(1,K64)</f>
        <v>#DIV/0!</v>
      </c>
      <c r="E82" s="663" t="e">
        <f>(C81*D81+C82*D82)/(C81+C82)</f>
        <v>#DIV/0!</v>
      </c>
      <c r="F82" s="1027" t="e">
        <f>1-0.91*E82^2.68</f>
        <v>#DIV/0!</v>
      </c>
    </row>
    <row r="85" spans="1:30" ht="15.75" thickBot="1" x14ac:dyDescent="0.3"/>
    <row r="86" spans="1:30" ht="15.75" thickBot="1" x14ac:dyDescent="0.3">
      <c r="C86" s="461" t="s">
        <v>1128</v>
      </c>
      <c r="D86" s="526"/>
      <c r="K86" s="18"/>
      <c r="L86" s="18"/>
      <c r="M86" s="18"/>
      <c r="N86" s="18"/>
      <c r="O86" s="18"/>
      <c r="P86" s="18"/>
      <c r="Q86" s="322"/>
    </row>
    <row r="87" spans="1:30" ht="15.75" thickBot="1" x14ac:dyDescent="0.3">
      <c r="C87" s="461" t="s">
        <v>1129</v>
      </c>
      <c r="D87" s="464" t="s">
        <v>231</v>
      </c>
      <c r="K87" s="18"/>
      <c r="L87" s="18"/>
      <c r="M87" s="18"/>
      <c r="N87" s="18"/>
      <c r="O87" s="18"/>
      <c r="P87" s="18"/>
      <c r="Q87" s="18"/>
    </row>
    <row r="88" spans="1:30" x14ac:dyDescent="0.25">
      <c r="C88" s="17">
        <v>1</v>
      </c>
      <c r="D88" s="13">
        <f>2.354*C88^(-0.191)</f>
        <v>2.3540000000000001</v>
      </c>
      <c r="K88" s="18"/>
      <c r="L88" s="18"/>
      <c r="M88" s="18"/>
      <c r="N88" s="18"/>
      <c r="O88" s="18"/>
      <c r="P88" s="18"/>
      <c r="Q88" s="18"/>
    </row>
    <row r="89" spans="1:30" x14ac:dyDescent="0.25">
      <c r="C89" s="17">
        <v>2</v>
      </c>
      <c r="D89" s="13">
        <f t="shared" ref="D89:D106" si="8">2.354*C89^(-0.191)</f>
        <v>2.0621000336680142</v>
      </c>
      <c r="K89" s="18"/>
      <c r="L89" s="18"/>
      <c r="M89" s="18"/>
      <c r="N89" s="18"/>
      <c r="O89" s="18"/>
      <c r="P89" s="18"/>
      <c r="Q89" s="18"/>
    </row>
    <row r="90" spans="1:30" x14ac:dyDescent="0.25">
      <c r="A90">
        <v>3</v>
      </c>
      <c r="C90" s="17">
        <v>3</v>
      </c>
      <c r="D90" s="13">
        <f t="shared" si="8"/>
        <v>1.908430280904448</v>
      </c>
      <c r="K90" s="18"/>
      <c r="L90" s="18"/>
      <c r="M90" s="18"/>
      <c r="N90" s="18"/>
      <c r="O90" s="18"/>
      <c r="P90" s="18"/>
      <c r="Q90" s="18"/>
    </row>
    <row r="91" spans="1:30" x14ac:dyDescent="0.25">
      <c r="C91" s="17">
        <v>4</v>
      </c>
      <c r="D91" s="13">
        <f t="shared" si="8"/>
        <v>1.8063961549930438</v>
      </c>
      <c r="K91" s="18"/>
      <c r="L91" s="18"/>
      <c r="M91" s="18"/>
      <c r="N91" s="18"/>
      <c r="O91" s="18"/>
      <c r="P91" s="18"/>
      <c r="Q91" s="18"/>
    </row>
    <row r="92" spans="1:30" x14ac:dyDescent="0.25">
      <c r="C92" s="17">
        <v>5</v>
      </c>
      <c r="D92" s="13">
        <f t="shared" si="8"/>
        <v>1.7310243923317716</v>
      </c>
      <c r="K92" s="18"/>
      <c r="L92" s="18"/>
      <c r="M92" s="18"/>
      <c r="N92" s="18"/>
      <c r="O92" s="18"/>
      <c r="P92" s="18"/>
      <c r="Q92" s="18"/>
    </row>
    <row r="93" spans="1:30" x14ac:dyDescent="0.25">
      <c r="C93" s="17">
        <f>C92+5</f>
        <v>10</v>
      </c>
      <c r="D93" s="13">
        <f t="shared" si="8"/>
        <v>1.5163744510227271</v>
      </c>
      <c r="K93" s="18"/>
      <c r="L93" s="18"/>
      <c r="M93" s="18"/>
      <c r="N93" s="18"/>
      <c r="O93" s="18"/>
      <c r="P93" s="18"/>
      <c r="Q93" s="18"/>
    </row>
    <row r="94" spans="1:30" x14ac:dyDescent="0.25">
      <c r="C94" s="17">
        <f t="shared" ref="C94:C106" si="9">C93+5</f>
        <v>15</v>
      </c>
      <c r="D94" s="13">
        <f t="shared" si="8"/>
        <v>1.4033727133858007</v>
      </c>
      <c r="K94" s="18"/>
      <c r="L94" s="18"/>
      <c r="M94" s="18"/>
      <c r="N94" s="18"/>
      <c r="O94" s="18"/>
      <c r="P94" s="18"/>
      <c r="Q94" s="18"/>
    </row>
    <row r="95" spans="1:30" x14ac:dyDescent="0.25">
      <c r="C95" s="17">
        <f t="shared" si="9"/>
        <v>20</v>
      </c>
      <c r="D95" s="13">
        <f t="shared" si="8"/>
        <v>1.3283414641067472</v>
      </c>
      <c r="K95" s="18"/>
      <c r="L95" s="18"/>
      <c r="M95" s="18"/>
      <c r="N95" s="18"/>
      <c r="O95" s="18"/>
      <c r="P95" s="18"/>
      <c r="Q95" s="18"/>
    </row>
    <row r="96" spans="1:30" x14ac:dyDescent="0.25">
      <c r="C96" s="17">
        <f t="shared" si="9"/>
        <v>25</v>
      </c>
      <c r="D96" s="13">
        <f t="shared" si="8"/>
        <v>1.2729165024841034</v>
      </c>
      <c r="K96" s="33"/>
      <c r="L96" s="33"/>
      <c r="M96" s="33"/>
      <c r="N96" s="33"/>
      <c r="O96" s="33"/>
      <c r="P96" s="33"/>
      <c r="Q96" s="33"/>
    </row>
    <row r="97" spans="3:17" x14ac:dyDescent="0.25">
      <c r="C97" s="17">
        <f t="shared" si="9"/>
        <v>30</v>
      </c>
      <c r="D97" s="13">
        <f t="shared" si="8"/>
        <v>1.2293521323371417</v>
      </c>
      <c r="K97" s="18"/>
      <c r="L97" s="18"/>
      <c r="M97" s="18"/>
      <c r="N97" s="18"/>
      <c r="O97" s="18"/>
      <c r="P97" s="18"/>
      <c r="Q97" s="18"/>
    </row>
    <row r="98" spans="3:17" x14ac:dyDescent="0.25">
      <c r="C98" s="17">
        <f t="shared" si="9"/>
        <v>35</v>
      </c>
      <c r="D98" s="13">
        <f t="shared" si="8"/>
        <v>1.1936842456212242</v>
      </c>
      <c r="K98" s="18"/>
      <c r="L98" s="18"/>
      <c r="M98" s="18"/>
      <c r="N98" s="18"/>
      <c r="O98" s="18"/>
      <c r="P98" s="18"/>
      <c r="Q98" s="18"/>
    </row>
    <row r="99" spans="3:17" x14ac:dyDescent="0.25">
      <c r="C99" s="17">
        <f t="shared" si="9"/>
        <v>40</v>
      </c>
      <c r="D99" s="13">
        <f t="shared" si="8"/>
        <v>1.1636248843913093</v>
      </c>
      <c r="K99" s="18"/>
      <c r="L99" s="18"/>
      <c r="M99" s="18"/>
      <c r="N99" s="18"/>
      <c r="O99" s="18"/>
      <c r="P99" s="18"/>
      <c r="Q99" s="18"/>
    </row>
    <row r="100" spans="3:17" x14ac:dyDescent="0.25">
      <c r="C100" s="17">
        <f t="shared" si="9"/>
        <v>45</v>
      </c>
      <c r="D100" s="13">
        <f t="shared" si="8"/>
        <v>1.1377395843757439</v>
      </c>
      <c r="K100" s="18"/>
      <c r="L100" s="18"/>
      <c r="M100" s="18"/>
      <c r="N100" s="18"/>
      <c r="O100" s="18"/>
      <c r="P100" s="18"/>
      <c r="Q100" s="18"/>
    </row>
    <row r="101" spans="3:17" x14ac:dyDescent="0.25">
      <c r="C101" s="17">
        <f t="shared" si="9"/>
        <v>50</v>
      </c>
      <c r="D101" s="13">
        <f t="shared" si="8"/>
        <v>1.1150727113972134</v>
      </c>
      <c r="K101" s="18"/>
      <c r="L101" s="18"/>
      <c r="M101" s="18"/>
      <c r="N101" s="18"/>
      <c r="O101" s="18"/>
      <c r="P101" s="18"/>
      <c r="Q101" s="18"/>
    </row>
    <row r="102" spans="3:17" x14ac:dyDescent="0.25">
      <c r="C102" s="17">
        <f t="shared" si="9"/>
        <v>55</v>
      </c>
      <c r="D102" s="13">
        <f t="shared" si="8"/>
        <v>1.0949573037057192</v>
      </c>
      <c r="K102" s="18"/>
      <c r="L102" s="18"/>
      <c r="M102" s="18"/>
      <c r="N102" s="18"/>
      <c r="O102" s="18"/>
      <c r="P102" s="18"/>
      <c r="Q102" s="18"/>
    </row>
    <row r="103" spans="3:17" x14ac:dyDescent="0.25">
      <c r="C103" s="17">
        <f t="shared" si="9"/>
        <v>60</v>
      </c>
      <c r="D103" s="13">
        <f t="shared" si="8"/>
        <v>1.0769103965515145</v>
      </c>
      <c r="K103" s="18"/>
      <c r="L103" s="18"/>
      <c r="M103" s="18"/>
      <c r="N103" s="18"/>
      <c r="O103" s="18"/>
      <c r="P103" s="18"/>
      <c r="Q103" s="18"/>
    </row>
    <row r="104" spans="3:17" x14ac:dyDescent="0.25">
      <c r="C104" s="17">
        <f t="shared" si="9"/>
        <v>65</v>
      </c>
      <c r="D104" s="13">
        <f t="shared" si="8"/>
        <v>1.0605716341732234</v>
      </c>
      <c r="K104" s="18"/>
      <c r="L104" s="18"/>
      <c r="M104" s="18"/>
      <c r="N104" s="18"/>
      <c r="O104" s="18"/>
      <c r="P104" s="18"/>
      <c r="Q104" s="18"/>
    </row>
    <row r="105" spans="3:17" x14ac:dyDescent="0.25">
      <c r="C105" s="17">
        <f t="shared" si="9"/>
        <v>70</v>
      </c>
      <c r="D105" s="13">
        <f t="shared" si="8"/>
        <v>1.0456653878863655</v>
      </c>
      <c r="K105" s="18"/>
      <c r="L105" s="18"/>
      <c r="M105" s="18"/>
      <c r="N105" s="18"/>
      <c r="O105" s="18"/>
      <c r="P105" s="18"/>
      <c r="Q105" s="18"/>
    </row>
    <row r="106" spans="3:17" ht="15.75" thickBot="1" x14ac:dyDescent="0.3">
      <c r="C106" s="19">
        <f t="shared" si="9"/>
        <v>75</v>
      </c>
      <c r="D106" s="28">
        <f t="shared" si="8"/>
        <v>1.0319763799505717</v>
      </c>
      <c r="K106" s="14"/>
      <c r="L106" s="14"/>
      <c r="M106" s="14"/>
      <c r="N106" s="14"/>
      <c r="O106" s="14"/>
      <c r="P106" s="14"/>
      <c r="Q106" s="14"/>
    </row>
  </sheetData>
  <sheetProtection algorithmName="SHA-512" hashValue="/ZM80slx5dh6I5lr7yfuFy8YyPaq5a6OREZKiuEgoTlBqxePFqWRrpqLNN1G9t+sC+XSUSTf9h4koRwEc2SG8w==" saltValue="ZYgRS9MhlcYod49SU0C/9A==" spinCount="100000" sheet="1" objects="1" scenarios="1"/>
  <mergeCells count="25">
    <mergeCell ref="Q26:T26"/>
    <mergeCell ref="B15:C15"/>
    <mergeCell ref="E21:F21"/>
    <mergeCell ref="D5:I5"/>
    <mergeCell ref="E22:H22"/>
    <mergeCell ref="Q22:T22"/>
    <mergeCell ref="U23:V23"/>
    <mergeCell ref="B3:D3"/>
    <mergeCell ref="J3:V3"/>
    <mergeCell ref="G9:H9"/>
    <mergeCell ref="G10:H10"/>
    <mergeCell ref="G11:H11"/>
    <mergeCell ref="R65:AB65"/>
    <mergeCell ref="K29:N29"/>
    <mergeCell ref="K32:L32"/>
    <mergeCell ref="N32:O32"/>
    <mergeCell ref="E38:H40"/>
    <mergeCell ref="C43:E43"/>
    <mergeCell ref="H43:H46"/>
    <mergeCell ref="J47:P47"/>
    <mergeCell ref="Q49:V49"/>
    <mergeCell ref="R53:W53"/>
    <mergeCell ref="J59:P59"/>
    <mergeCell ref="R61:U61"/>
    <mergeCell ref="J30:J32"/>
  </mergeCells>
  <conditionalFormatting sqref="K60:K64">
    <cfRule type="cellIs" dxfId="68" priority="2" operator="greaterThan">
      <formula>1</formula>
    </cfRule>
  </conditionalFormatting>
  <conditionalFormatting sqref="K86 K95 N86:N94 Q87 Q95">
    <cfRule type="colorScale" priority="12">
      <colorScale>
        <cfvo type="min"/>
        <cfvo type="percentile" val="50"/>
        <cfvo type="max"/>
        <color rgb="FF63BE7B"/>
        <color rgb="FFFFEB84"/>
        <color rgb="FFF8696B"/>
      </colorScale>
    </cfRule>
  </conditionalFormatting>
  <conditionalFormatting sqref="K97 K105 Q98 Q105 N97:N104">
    <cfRule type="colorScale" priority="11">
      <colorScale>
        <cfvo type="min"/>
        <cfvo type="percentile" val="50"/>
        <cfvo type="max"/>
        <color rgb="FF63BE7B"/>
        <color rgb="FFFFEB84"/>
        <color rgb="FFF8696B"/>
      </colorScale>
    </cfRule>
  </conditionalFormatting>
  <conditionalFormatting sqref="K106 N106 Q106">
    <cfRule type="containsText" dxfId="67" priority="10" operator="containsText" text="NO-LOSF">
      <formula>NOT(ISERROR(SEARCH("NO-LOSF",K106)))</formula>
    </cfRule>
  </conditionalFormatting>
  <conditionalFormatting sqref="K18:V18">
    <cfRule type="colorScale" priority="9">
      <colorScale>
        <cfvo type="min"/>
        <cfvo type="percentile" val="50"/>
        <cfvo type="max"/>
        <color rgb="FF63BE7B"/>
        <color rgb="FFFFEB84"/>
        <color rgb="FFF8696B"/>
      </colorScale>
    </cfRule>
  </conditionalFormatting>
  <conditionalFormatting sqref="K21:V21 V22">
    <cfRule type="cellIs" dxfId="66" priority="6" operator="equal">
      <formula>"E"</formula>
    </cfRule>
    <cfRule type="cellIs" dxfId="65" priority="7" operator="equal">
      <formula>"F"</formula>
    </cfRule>
    <cfRule type="colorScale" priority="13">
      <colorScale>
        <cfvo type="min"/>
        <cfvo type="percentile" val="50"/>
        <cfvo type="max"/>
        <color rgb="FF63BE7B"/>
        <color rgb="FFFFEB84"/>
        <color rgb="FFF8696B"/>
      </colorScale>
    </cfRule>
  </conditionalFormatting>
  <conditionalFormatting sqref="K25:V25">
    <cfRule type="colorScale" priority="8">
      <colorScale>
        <cfvo type="min"/>
        <cfvo type="percentile" val="50"/>
        <cfvo type="max"/>
        <color rgb="FF63BE7B"/>
        <color rgb="FFFFEB84"/>
        <color rgb="FFF8696B"/>
      </colorScale>
    </cfRule>
  </conditionalFormatting>
  <conditionalFormatting sqref="N60:N64">
    <cfRule type="cellIs" dxfId="64" priority="1" operator="greaterThan">
      <formula>1</formula>
    </cfRule>
  </conditionalFormatting>
  <conditionalFormatting sqref="U27">
    <cfRule type="cellIs" dxfId="63" priority="5" operator="equal">
      <formula>"F"</formula>
    </cfRule>
  </conditionalFormatting>
  <conditionalFormatting sqref="U67:U75">
    <cfRule type="cellIs" dxfId="62" priority="3" operator="equal">
      <formula>1</formula>
    </cfRule>
  </conditionalFormatting>
  <conditionalFormatting sqref="U23:V23">
    <cfRule type="cellIs" dxfId="61" priority="4" operator="equal">
      <formula>"YES"</formula>
    </cfRule>
  </conditionalFormatting>
  <pageMargins left="0.7" right="0.7" top="0.75" bottom="0.75" header="0.3" footer="0.3"/>
  <pageSetup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B1:AE113"/>
  <sheetViews>
    <sheetView zoomScaleNormal="100" workbookViewId="0">
      <selection activeCell="F31" sqref="F31"/>
    </sheetView>
  </sheetViews>
  <sheetFormatPr defaultColWidth="8.85546875" defaultRowHeight="15" x14ac:dyDescent="0.25"/>
  <cols>
    <col min="1" max="1" width="1.7109375" customWidth="1"/>
    <col min="2" max="2" width="12" customWidth="1"/>
    <col min="3" max="3" width="45" customWidth="1"/>
    <col min="4" max="4" width="12" customWidth="1"/>
    <col min="5" max="5" width="10.28515625" customWidth="1"/>
    <col min="6" max="6" width="5.42578125" customWidth="1"/>
    <col min="7" max="7" width="27.140625" customWidth="1"/>
    <col min="8" max="8" width="7.42578125" customWidth="1"/>
    <col min="9" max="9" width="1.7109375" customWidth="1"/>
    <col min="10" max="10" width="36.7109375" customWidth="1"/>
    <col min="11" max="11" width="9.42578125" bestFit="1" customWidth="1"/>
    <col min="12" max="13" width="9.140625"/>
    <col min="14" max="14" width="10.85546875" bestFit="1" customWidth="1"/>
    <col min="15" max="15" width="9.140625" customWidth="1"/>
    <col min="16" max="16" width="8.42578125" customWidth="1"/>
    <col min="17" max="17" width="10.42578125" bestFit="1" customWidth="1"/>
    <col min="18" max="19" width="9.140625"/>
    <col min="20" max="20" width="14.140625" customWidth="1"/>
    <col min="22" max="22" width="13.42578125" customWidth="1"/>
    <col min="23" max="23" width="19" customWidth="1"/>
    <col min="25" max="25" width="10.7109375" customWidth="1"/>
  </cols>
  <sheetData>
    <row r="1" spans="2:25" ht="6" customHeight="1" thickBot="1" x14ac:dyDescent="0.3"/>
    <row r="2" spans="2:25" ht="19.5" thickBot="1" x14ac:dyDescent="0.35">
      <c r="B2" s="1565" t="s">
        <v>232</v>
      </c>
      <c r="C2" s="1566"/>
      <c r="D2" s="1567"/>
      <c r="F2" s="1764"/>
      <c r="G2" s="1765"/>
      <c r="H2" s="1766"/>
      <c r="I2" s="14"/>
      <c r="J2" s="1565" t="s">
        <v>89</v>
      </c>
      <c r="K2" s="1566"/>
      <c r="L2" s="1566"/>
      <c r="M2" s="1566"/>
      <c r="N2" s="1566"/>
      <c r="O2" s="1566"/>
      <c r="P2" s="1566"/>
      <c r="Q2" s="1566"/>
      <c r="R2" s="1566"/>
      <c r="S2" s="1566"/>
      <c r="T2" s="1566"/>
      <c r="U2" s="1566"/>
      <c r="V2" s="1567"/>
    </row>
    <row r="3" spans="2:25" ht="5.25" customHeight="1" thickBot="1" x14ac:dyDescent="0.3"/>
    <row r="4" spans="2:25" ht="18.75" customHeight="1" thickBot="1" x14ac:dyDescent="0.35">
      <c r="F4" s="1681"/>
      <c r="G4" s="1681"/>
      <c r="H4" s="572"/>
      <c r="I4" s="1035"/>
      <c r="J4" s="566" t="s">
        <v>6</v>
      </c>
      <c r="K4" s="899">
        <v>2</v>
      </c>
      <c r="L4" s="899">
        <v>2</v>
      </c>
      <c r="M4" s="901">
        <v>2</v>
      </c>
      <c r="N4" s="900">
        <v>4</v>
      </c>
      <c r="O4" s="899">
        <v>4</v>
      </c>
      <c r="P4" s="901">
        <v>4</v>
      </c>
      <c r="Q4" s="900">
        <v>6</v>
      </c>
      <c r="R4" s="899">
        <v>6</v>
      </c>
      <c r="S4" s="901">
        <v>6</v>
      </c>
      <c r="T4" s="900">
        <v>8</v>
      </c>
      <c r="U4" s="899">
        <v>8</v>
      </c>
      <c r="V4" s="901">
        <v>8</v>
      </c>
      <c r="X4" s="1664"/>
      <c r="Y4" s="1664"/>
    </row>
    <row r="5" spans="2:25" ht="19.5" thickBot="1" x14ac:dyDescent="0.35">
      <c r="B5" s="461" t="s">
        <v>1043</v>
      </c>
      <c r="C5" s="227"/>
      <c r="D5" s="562">
        <f>'GLOBAL INPUTS'!F55</f>
        <v>0</v>
      </c>
      <c r="E5" s="849"/>
      <c r="F5" s="849"/>
      <c r="G5" s="851"/>
      <c r="J5" s="573" t="s">
        <v>7</v>
      </c>
      <c r="K5" s="904">
        <v>4</v>
      </c>
      <c r="L5" s="904">
        <v>6</v>
      </c>
      <c r="M5" s="906">
        <v>8</v>
      </c>
      <c r="N5" s="905">
        <v>6</v>
      </c>
      <c r="O5" s="904">
        <v>8</v>
      </c>
      <c r="P5" s="906">
        <v>2</v>
      </c>
      <c r="Q5" s="905">
        <v>8</v>
      </c>
      <c r="R5" s="904">
        <v>2</v>
      </c>
      <c r="S5" s="906">
        <v>4</v>
      </c>
      <c r="T5" s="905">
        <v>2</v>
      </c>
      <c r="U5" s="904">
        <v>4</v>
      </c>
      <c r="V5" s="906">
        <v>6</v>
      </c>
      <c r="X5" s="1681"/>
      <c r="Y5" s="1681"/>
    </row>
    <row r="6" spans="2:25" ht="16.5" thickBot="1" x14ac:dyDescent="0.3">
      <c r="B6" s="560" t="s">
        <v>1278</v>
      </c>
      <c r="C6" s="561"/>
      <c r="D6" s="1036">
        <f>'GLOBAL INPUTS'!F56</f>
        <v>0</v>
      </c>
      <c r="E6" s="561"/>
      <c r="J6" s="577" t="s">
        <v>8</v>
      </c>
      <c r="K6" s="18" t="s">
        <v>9</v>
      </c>
      <c r="L6" s="18" t="s">
        <v>10</v>
      </c>
      <c r="M6" s="578" t="s">
        <v>11</v>
      </c>
      <c r="N6" s="579" t="s">
        <v>9</v>
      </c>
      <c r="O6" s="18" t="s">
        <v>10</v>
      </c>
      <c r="P6" s="578" t="s">
        <v>11</v>
      </c>
      <c r="Q6" s="579" t="s">
        <v>9</v>
      </c>
      <c r="R6" s="18" t="s">
        <v>10</v>
      </c>
      <c r="S6" s="578" t="s">
        <v>11</v>
      </c>
      <c r="T6" s="579" t="s">
        <v>9</v>
      </c>
      <c r="U6" s="18" t="s">
        <v>10</v>
      </c>
      <c r="V6" s="578" t="s">
        <v>11</v>
      </c>
      <c r="Y6" s="18"/>
    </row>
    <row r="7" spans="2:25" ht="16.5" thickBot="1" x14ac:dyDescent="0.3">
      <c r="B7" s="17" t="s">
        <v>1274</v>
      </c>
      <c r="C7" s="570"/>
      <c r="D7" s="1037">
        <f>'GLOBAL INPUTS'!F57</f>
        <v>0</v>
      </c>
      <c r="E7" s="578" t="s">
        <v>1035</v>
      </c>
      <c r="J7" s="580" t="s">
        <v>41</v>
      </c>
      <c r="K7" s="743"/>
      <c r="L7" s="1038">
        <f>D6</f>
        <v>0</v>
      </c>
      <c r="M7" s="745"/>
      <c r="N7" s="746"/>
      <c r="O7" s="1038" t="str">
        <f>IF($D$6="SB","WB",IF($D$6="NB","EB",IF($D$6="EB","SB","NB")))</f>
        <v>NB</v>
      </c>
      <c r="P7" s="745"/>
      <c r="Q7" s="746"/>
      <c r="R7" s="1038" t="str">
        <f>IF($D$6="SB","NB",IF($D$6="NB","SB",IF($D$6="EB","WB","EB")))</f>
        <v>EB</v>
      </c>
      <c r="S7" s="745"/>
      <c r="T7" s="746"/>
      <c r="U7" s="1038" t="str">
        <f>IF(O7="SB","NB",IF(O7="NB","SB",IF(O7="EB","WB","EB")))</f>
        <v>SB</v>
      </c>
      <c r="V7" s="747"/>
      <c r="Y7" s="18"/>
    </row>
    <row r="8" spans="2:25" ht="16.5" thickBot="1" x14ac:dyDescent="0.3">
      <c r="B8" s="17" t="s">
        <v>470</v>
      </c>
      <c r="C8" s="570"/>
      <c r="D8" s="1037">
        <f>'GLOBAL INPUTS'!F58</f>
        <v>0</v>
      </c>
      <c r="E8" s="578"/>
      <c r="J8" s="562" t="s">
        <v>1090</v>
      </c>
      <c r="K8" s="589">
        <f>'GLOBAL INPUTS'!S56</f>
        <v>0</v>
      </c>
      <c r="L8" s="589">
        <f>'GLOBAL INPUTS'!S57</f>
        <v>0</v>
      </c>
      <c r="M8" s="589">
        <f>'GLOBAL INPUTS'!S58</f>
        <v>0</v>
      </c>
      <c r="N8" s="589">
        <f>'GLOBAL INPUTS'!S59</f>
        <v>0</v>
      </c>
      <c r="O8" s="589">
        <f>'GLOBAL INPUTS'!S60</f>
        <v>0</v>
      </c>
      <c r="P8" s="589">
        <f>'GLOBAL INPUTS'!S61</f>
        <v>0</v>
      </c>
      <c r="Q8" s="589">
        <f>'GLOBAL INPUTS'!S62</f>
        <v>0</v>
      </c>
      <c r="R8" s="589">
        <f>'GLOBAL INPUTS'!S63</f>
        <v>0</v>
      </c>
      <c r="S8" s="589">
        <f>'GLOBAL INPUTS'!S64</f>
        <v>0</v>
      </c>
      <c r="T8" s="589">
        <f>'GLOBAL INPUTS'!S65</f>
        <v>0</v>
      </c>
      <c r="U8" s="589">
        <f>'GLOBAL INPUTS'!S66</f>
        <v>0</v>
      </c>
      <c r="V8" s="589">
        <f>'GLOBAL INPUTS'!S67</f>
        <v>0</v>
      </c>
      <c r="Y8" s="18"/>
    </row>
    <row r="9" spans="2:25" ht="16.5" thickBot="1" x14ac:dyDescent="0.3">
      <c r="B9" s="17" t="s">
        <v>1002</v>
      </c>
      <c r="C9" s="570"/>
      <c r="D9" s="1037">
        <f>'GLOBAL INPUTS'!F59</f>
        <v>0</v>
      </c>
      <c r="E9" s="578" t="s">
        <v>2</v>
      </c>
      <c r="J9" s="580" t="s">
        <v>91</v>
      </c>
      <c r="K9" s="34">
        <f t="shared" ref="K9:V9" si="0">K8*$D$20</f>
        <v>0</v>
      </c>
      <c r="L9" s="34">
        <f t="shared" si="0"/>
        <v>0</v>
      </c>
      <c r="M9" s="34">
        <f t="shared" si="0"/>
        <v>0</v>
      </c>
      <c r="N9" s="34">
        <f t="shared" si="0"/>
        <v>0</v>
      </c>
      <c r="O9" s="34">
        <f t="shared" si="0"/>
        <v>0</v>
      </c>
      <c r="P9" s="34">
        <f t="shared" si="0"/>
        <v>0</v>
      </c>
      <c r="Q9" s="34">
        <f t="shared" si="0"/>
        <v>0</v>
      </c>
      <c r="R9" s="34">
        <f t="shared" si="0"/>
        <v>0</v>
      </c>
      <c r="S9" s="34">
        <f t="shared" si="0"/>
        <v>0</v>
      </c>
      <c r="T9" s="34">
        <f t="shared" si="0"/>
        <v>0</v>
      </c>
      <c r="U9" s="34">
        <f t="shared" si="0"/>
        <v>0</v>
      </c>
      <c r="V9" s="34">
        <f t="shared" si="0"/>
        <v>0</v>
      </c>
      <c r="Y9" s="18"/>
    </row>
    <row r="10" spans="2:25" ht="15.75" thickBot="1" x14ac:dyDescent="0.3">
      <c r="B10" s="591" t="s">
        <v>1045</v>
      </c>
      <c r="C10" s="578"/>
      <c r="D10" s="1037">
        <f>'GLOBAL INPUTS'!F60</f>
        <v>0</v>
      </c>
      <c r="E10" s="570"/>
      <c r="G10" s="14" t="s">
        <v>233</v>
      </c>
      <c r="J10" s="594" t="s">
        <v>31</v>
      </c>
      <c r="K10" s="267" t="e">
        <f t="shared" ref="K10:V10" si="1">ROUND(K9/$D$8,0)</f>
        <v>#DIV/0!</v>
      </c>
      <c r="L10" s="267" t="e">
        <f t="shared" si="1"/>
        <v>#DIV/0!</v>
      </c>
      <c r="M10" s="267" t="e">
        <f t="shared" si="1"/>
        <v>#DIV/0!</v>
      </c>
      <c r="N10" s="267" t="e">
        <f t="shared" si="1"/>
        <v>#DIV/0!</v>
      </c>
      <c r="O10" s="267" t="e">
        <f t="shared" si="1"/>
        <v>#DIV/0!</v>
      </c>
      <c r="P10" s="267" t="e">
        <f t="shared" si="1"/>
        <v>#DIV/0!</v>
      </c>
      <c r="Q10" s="267" t="e">
        <f t="shared" si="1"/>
        <v>#DIV/0!</v>
      </c>
      <c r="R10" s="267" t="e">
        <f t="shared" si="1"/>
        <v>#DIV/0!</v>
      </c>
      <c r="S10" s="267" t="e">
        <f t="shared" si="1"/>
        <v>#DIV/0!</v>
      </c>
      <c r="T10" s="267" t="e">
        <f t="shared" si="1"/>
        <v>#DIV/0!</v>
      </c>
      <c r="U10" s="267" t="e">
        <f t="shared" si="1"/>
        <v>#DIV/0!</v>
      </c>
      <c r="V10" s="267" t="e">
        <f t="shared" si="1"/>
        <v>#DIV/0!</v>
      </c>
      <c r="Y10" s="18"/>
    </row>
    <row r="11" spans="2:25" ht="15.75" thickBot="1" x14ac:dyDescent="0.3">
      <c r="B11" s="17" t="s">
        <v>1275</v>
      </c>
      <c r="C11" s="570"/>
      <c r="D11" s="1037">
        <f>'GLOBAL INPUTS'!F61</f>
        <v>0</v>
      </c>
      <c r="E11" s="578" t="s">
        <v>3</v>
      </c>
      <c r="F11" s="15"/>
      <c r="G11" s="1039" t="s">
        <v>234</v>
      </c>
      <c r="H11" s="1040" t="s">
        <v>72</v>
      </c>
      <c r="J11" s="1041" t="s">
        <v>57</v>
      </c>
      <c r="K11" s="753" t="e">
        <f t="shared" ref="K11:V11" si="2">ROUND(K10*(1+$D$9/100),0)</f>
        <v>#DIV/0!</v>
      </c>
      <c r="L11" s="753" t="e">
        <f t="shared" si="2"/>
        <v>#DIV/0!</v>
      </c>
      <c r="M11" s="753" t="e">
        <f t="shared" si="2"/>
        <v>#DIV/0!</v>
      </c>
      <c r="N11" s="753" t="e">
        <f t="shared" si="2"/>
        <v>#DIV/0!</v>
      </c>
      <c r="O11" s="753" t="e">
        <f t="shared" si="2"/>
        <v>#DIV/0!</v>
      </c>
      <c r="P11" s="753" t="e">
        <f t="shared" si="2"/>
        <v>#DIV/0!</v>
      </c>
      <c r="Q11" s="753" t="e">
        <f t="shared" si="2"/>
        <v>#DIV/0!</v>
      </c>
      <c r="R11" s="753" t="e">
        <f t="shared" si="2"/>
        <v>#DIV/0!</v>
      </c>
      <c r="S11" s="753" t="e">
        <f t="shared" si="2"/>
        <v>#DIV/0!</v>
      </c>
      <c r="T11" s="753" t="e">
        <f t="shared" si="2"/>
        <v>#DIV/0!</v>
      </c>
      <c r="U11" s="753" t="e">
        <f t="shared" si="2"/>
        <v>#DIV/0!</v>
      </c>
      <c r="V11" s="753" t="e">
        <f t="shared" si="2"/>
        <v>#DIV/0!</v>
      </c>
      <c r="Y11" s="18"/>
    </row>
    <row r="12" spans="2:25" ht="16.5" thickBot="1" x14ac:dyDescent="0.3">
      <c r="B12" s="17" t="s">
        <v>1208</v>
      </c>
      <c r="C12" s="570"/>
      <c r="D12" s="1037">
        <f>'GLOBAL INPUTS'!F62</f>
        <v>0</v>
      </c>
      <c r="E12" s="578" t="s">
        <v>1007</v>
      </c>
      <c r="F12" s="27"/>
      <c r="G12" s="1042" t="s">
        <v>235</v>
      </c>
      <c r="H12" s="1043" t="s">
        <v>16</v>
      </c>
      <c r="J12" s="603" t="s">
        <v>1065</v>
      </c>
      <c r="K12" s="757" t="e">
        <f>K104</f>
        <v>#DIV/0!</v>
      </c>
      <c r="L12" s="755" t="e">
        <f>N97+Q97</f>
        <v>#N/A</v>
      </c>
      <c r="M12" s="756" t="e">
        <f>N97</f>
        <v>#N/A</v>
      </c>
      <c r="N12" s="757" t="e">
        <f>N101</f>
        <v>#DIV/0!</v>
      </c>
      <c r="O12" s="755" t="e">
        <f>N99</f>
        <v>#DIV/0!</v>
      </c>
      <c r="P12" s="756" t="e">
        <f>IF(N44=0,O12+K103,K103)</f>
        <v>#DIV/0!</v>
      </c>
      <c r="Q12" s="757" t="e">
        <f>Q104</f>
        <v>#DIV/0!</v>
      </c>
      <c r="R12" s="755" t="e">
        <f>K98+N98</f>
        <v>#DIV/0!</v>
      </c>
      <c r="S12" s="756" t="e">
        <f>N98</f>
        <v>#N/A</v>
      </c>
      <c r="T12" s="757" t="e">
        <f>N102</f>
        <v>#DIV/0!</v>
      </c>
      <c r="U12" s="755" t="e">
        <f>N100</f>
        <v>#DIV/0!</v>
      </c>
      <c r="V12" s="756" t="e">
        <f>IF(N36=0,U12+Q103,Q103)</f>
        <v>#DIV/0!</v>
      </c>
      <c r="Y12" s="18"/>
    </row>
    <row r="13" spans="2:25" ht="15.75" thickBot="1" x14ac:dyDescent="0.3">
      <c r="B13" s="591" t="s">
        <v>1276</v>
      </c>
      <c r="C13" s="598"/>
      <c r="D13" s="1037" t="s">
        <v>69</v>
      </c>
      <c r="E13" s="578" t="s">
        <v>3</v>
      </c>
      <c r="G13" s="1044" t="s">
        <v>236</v>
      </c>
      <c r="H13" s="1045" t="s">
        <v>17</v>
      </c>
      <c r="J13" s="603"/>
      <c r="K13" s="322"/>
      <c r="L13" s="322"/>
      <c r="M13" s="604"/>
      <c r="N13" s="605"/>
      <c r="O13" s="322"/>
      <c r="P13" s="604"/>
      <c r="Q13" s="605"/>
      <c r="R13" s="322"/>
      <c r="S13" s="604"/>
      <c r="T13" s="605"/>
      <c r="U13" s="322"/>
      <c r="V13" s="604"/>
    </row>
    <row r="14" spans="2:25" ht="16.5" thickBot="1" x14ac:dyDescent="0.3">
      <c r="B14" s="17" t="s">
        <v>1277</v>
      </c>
      <c r="C14" s="570"/>
      <c r="D14" s="1037" t="s">
        <v>69</v>
      </c>
      <c r="E14" s="570"/>
      <c r="G14" s="1044" t="s">
        <v>237</v>
      </c>
      <c r="H14" s="1045" t="s">
        <v>18</v>
      </c>
      <c r="J14" s="603" t="s">
        <v>1244</v>
      </c>
      <c r="K14" s="760" t="e">
        <f t="shared" ref="K14:V14" si="3">K12+K13</f>
        <v>#DIV/0!</v>
      </c>
      <c r="L14" s="760" t="e">
        <f t="shared" si="3"/>
        <v>#N/A</v>
      </c>
      <c r="M14" s="761" t="e">
        <f t="shared" si="3"/>
        <v>#N/A</v>
      </c>
      <c r="N14" s="762" t="e">
        <f t="shared" si="3"/>
        <v>#DIV/0!</v>
      </c>
      <c r="O14" s="760" t="e">
        <f t="shared" si="3"/>
        <v>#DIV/0!</v>
      </c>
      <c r="P14" s="761" t="e">
        <f t="shared" si="3"/>
        <v>#DIV/0!</v>
      </c>
      <c r="Q14" s="762" t="e">
        <f t="shared" si="3"/>
        <v>#DIV/0!</v>
      </c>
      <c r="R14" s="760" t="e">
        <f t="shared" si="3"/>
        <v>#DIV/0!</v>
      </c>
      <c r="S14" s="761" t="e">
        <f t="shared" si="3"/>
        <v>#N/A</v>
      </c>
      <c r="T14" s="762" t="e">
        <f t="shared" si="3"/>
        <v>#DIV/0!</v>
      </c>
      <c r="U14" s="760" t="e">
        <f t="shared" si="3"/>
        <v>#DIV/0!</v>
      </c>
      <c r="V14" s="761" t="e">
        <f t="shared" si="3"/>
        <v>#DIV/0!</v>
      </c>
    </row>
    <row r="15" spans="2:25" ht="16.5" thickBot="1" x14ac:dyDescent="0.3">
      <c r="B15" s="17" t="s">
        <v>1049</v>
      </c>
      <c r="C15" s="570"/>
      <c r="D15" s="1037">
        <f>'GLOBAL INPUTS'!F63</f>
        <v>0</v>
      </c>
      <c r="E15" s="578" t="s">
        <v>4</v>
      </c>
      <c r="G15" s="1044" t="s">
        <v>238</v>
      </c>
      <c r="H15" s="1045" t="s">
        <v>19</v>
      </c>
      <c r="J15" s="603" t="s">
        <v>1245</v>
      </c>
      <c r="K15" s="203"/>
      <c r="L15" s="610" t="e">
        <f>SUMPRODUCT(K11:M11,K14:M14)/SUM(K11:M11)</f>
        <v>#DIV/0!</v>
      </c>
      <c r="M15" s="611"/>
      <c r="N15" s="612"/>
      <c r="O15" s="610" t="e">
        <f>SUMPRODUCT(N11:P11,N14:P14)/SUM(N11:P11)</f>
        <v>#DIV/0!</v>
      </c>
      <c r="P15" s="611"/>
      <c r="Q15" s="612"/>
      <c r="R15" s="610" t="e">
        <f>SUMPRODUCT(Q11:S11,Q14:S14)/SUM(Q11:S11)</f>
        <v>#DIV/0!</v>
      </c>
      <c r="S15" s="611"/>
      <c r="T15" s="612"/>
      <c r="U15" s="610" t="e">
        <f>SUMPRODUCT(T11:V11,T14:V14)/SUM(T11:V11)</f>
        <v>#DIV/0!</v>
      </c>
      <c r="V15" s="613"/>
    </row>
    <row r="16" spans="2:25" ht="16.5" thickBot="1" x14ac:dyDescent="0.3">
      <c r="B16" s="17" t="s">
        <v>1050</v>
      </c>
      <c r="C16" s="570"/>
      <c r="D16" s="1037">
        <f>'GLOBAL INPUTS'!F64</f>
        <v>0</v>
      </c>
      <c r="E16" s="578" t="s">
        <v>4</v>
      </c>
      <c r="G16" s="1044" t="s">
        <v>239</v>
      </c>
      <c r="H16" s="1045" t="s">
        <v>20</v>
      </c>
      <c r="J16" s="614" t="s">
        <v>240</v>
      </c>
      <c r="K16" s="1046"/>
      <c r="L16" s="1047" t="e">
        <f>VLOOKUP(L15,$G$21:$H$26,2,TRUE)</f>
        <v>#DIV/0!</v>
      </c>
      <c r="M16" s="615"/>
      <c r="N16" s="615"/>
      <c r="O16" s="1047" t="e">
        <f>VLOOKUP(O15,$G$21:$H$26,2,TRUE)</f>
        <v>#DIV/0!</v>
      </c>
      <c r="P16" s="615"/>
      <c r="Q16" s="615"/>
      <c r="R16" s="1047" t="e">
        <f>VLOOKUP(R15,$G$21:$H$26,2,TRUE)</f>
        <v>#DIV/0!</v>
      </c>
      <c r="S16" s="615"/>
      <c r="T16" s="615"/>
      <c r="U16" s="1047" t="e">
        <f>VLOOKUP(U15,$G$21:$H$26,2,TRUE)</f>
        <v>#DIV/0!</v>
      </c>
      <c r="V16" s="1048"/>
    </row>
    <row r="17" spans="2:22" ht="16.5" thickBot="1" x14ac:dyDescent="0.3">
      <c r="B17" s="17" t="s">
        <v>61</v>
      </c>
      <c r="C17" s="570"/>
      <c r="D17" s="1037">
        <f>'GLOBAL INPUTS'!F65</f>
        <v>0</v>
      </c>
      <c r="E17" s="578" t="s">
        <v>1006</v>
      </c>
      <c r="G17" s="1049" t="s">
        <v>241</v>
      </c>
      <c r="H17" s="1050" t="s">
        <v>21</v>
      </c>
      <c r="J17" s="883" t="s">
        <v>95</v>
      </c>
      <c r="K17" s="1051" t="e">
        <f t="shared" ref="K17:V17" si="4">VLOOKUP(K14,$G$21:$H$26,2,TRUE)</f>
        <v>#DIV/0!</v>
      </c>
      <c r="L17" s="1051" t="e">
        <f t="shared" si="4"/>
        <v>#N/A</v>
      </c>
      <c r="M17" s="1051" t="e">
        <f t="shared" si="4"/>
        <v>#N/A</v>
      </c>
      <c r="N17" s="1051" t="e">
        <f t="shared" si="4"/>
        <v>#DIV/0!</v>
      </c>
      <c r="O17" s="1051" t="e">
        <f t="shared" si="4"/>
        <v>#DIV/0!</v>
      </c>
      <c r="P17" s="1051" t="e">
        <f t="shared" si="4"/>
        <v>#DIV/0!</v>
      </c>
      <c r="Q17" s="1051" t="e">
        <f t="shared" si="4"/>
        <v>#DIV/0!</v>
      </c>
      <c r="R17" s="1051" t="e">
        <f t="shared" si="4"/>
        <v>#DIV/0!</v>
      </c>
      <c r="S17" s="1051" t="e">
        <f t="shared" si="4"/>
        <v>#N/A</v>
      </c>
      <c r="T17" s="1051" t="e">
        <f t="shared" si="4"/>
        <v>#DIV/0!</v>
      </c>
      <c r="U17" s="1051" t="e">
        <f t="shared" si="4"/>
        <v>#DIV/0!</v>
      </c>
      <c r="V17" s="1051" t="e">
        <f t="shared" si="4"/>
        <v>#DIV/0!</v>
      </c>
    </row>
    <row r="18" spans="2:22" ht="21.75" thickBot="1" x14ac:dyDescent="0.4">
      <c r="B18" s="17" t="s">
        <v>1074</v>
      </c>
      <c r="C18" s="570"/>
      <c r="D18" s="1037">
        <f>'GLOBAL INPUTS'!F66</f>
        <v>0</v>
      </c>
      <c r="I18" s="628"/>
      <c r="J18" s="1052" t="s">
        <v>723</v>
      </c>
      <c r="L18" s="1053" t="e">
        <f>SUMPRODUCT(K11:V11,K14:V14)/SUM(K11:V11)</f>
        <v>#DIV/0!</v>
      </c>
      <c r="N18" s="1677" t="s">
        <v>151</v>
      </c>
      <c r="O18" s="1678"/>
      <c r="P18" s="1679"/>
      <c r="Q18" s="236" t="s">
        <v>242</v>
      </c>
      <c r="U18" s="1054" t="e">
        <f>SUMPRODUCT(K11:V11,K14:V14)/SUM(K11:V11)</f>
        <v>#DIV/0!</v>
      </c>
      <c r="V18" s="1055" t="e">
        <f>VLOOKUP(U18,G21:H26,2,TRUE)</f>
        <v>#DIV/0!</v>
      </c>
    </row>
    <row r="19" spans="2:22" ht="21.75" thickBot="1" x14ac:dyDescent="0.4">
      <c r="B19" s="1756" t="str">
        <f>'GLOBAL INPUTS'!D67</f>
        <v xml:space="preserve">Coordination arrival type on major road (1=poor; 6=outstanding) </v>
      </c>
      <c r="C19" s="1757"/>
      <c r="D19" s="1037">
        <f>'GLOBAL INPUTS'!F67</f>
        <v>0</v>
      </c>
      <c r="E19" s="578"/>
      <c r="I19" s="628"/>
      <c r="J19" s="15"/>
      <c r="L19" s="38"/>
      <c r="N19" s="14"/>
      <c r="O19" s="14"/>
      <c r="P19" s="14"/>
      <c r="Q19" s="236"/>
      <c r="U19" s="1056"/>
      <c r="V19" s="1057"/>
    </row>
    <row r="20" spans="2:22" ht="19.5" thickBot="1" x14ac:dyDescent="0.35">
      <c r="B20" s="19" t="s">
        <v>1051</v>
      </c>
      <c r="C20" s="666"/>
      <c r="D20" s="1058">
        <f>'GLOBAL INPUTS'!F68</f>
        <v>0</v>
      </c>
      <c r="E20" s="666"/>
      <c r="G20" s="1059" t="s">
        <v>73</v>
      </c>
      <c r="H20" s="1060" t="s">
        <v>72</v>
      </c>
      <c r="I20" s="635"/>
      <c r="J20" s="15"/>
      <c r="Q20" s="236" t="s">
        <v>243</v>
      </c>
      <c r="U20" s="1061"/>
      <c r="V20" s="210" t="e">
        <f>K113</f>
        <v>#DIV/0!</v>
      </c>
    </row>
    <row r="21" spans="2:22" ht="19.5" thickBot="1" x14ac:dyDescent="0.35">
      <c r="B21" s="484"/>
      <c r="C21" s="484"/>
      <c r="D21" s="572"/>
      <c r="E21" s="484"/>
      <c r="G21" s="1062">
        <v>0</v>
      </c>
      <c r="H21" s="1063" t="s">
        <v>16</v>
      </c>
      <c r="I21" s="635"/>
      <c r="J21" s="15"/>
      <c r="Q21" s="1064" t="s">
        <v>244</v>
      </c>
      <c r="R21" s="248"/>
      <c r="S21" s="248"/>
      <c r="T21" s="248"/>
      <c r="U21" s="1065"/>
      <c r="V21" s="1066" t="e">
        <f>Q113</f>
        <v>#DIV/0!</v>
      </c>
    </row>
    <row r="22" spans="2:22" x14ac:dyDescent="0.25">
      <c r="E22" s="18"/>
      <c r="G22" s="1067">
        <v>10</v>
      </c>
      <c r="H22" s="1068" t="s">
        <v>17</v>
      </c>
      <c r="I22" s="635"/>
      <c r="J22" s="15"/>
      <c r="K22" s="18"/>
      <c r="L22" s="18"/>
      <c r="M22" s="18"/>
      <c r="N22" s="18"/>
      <c r="O22" s="18"/>
      <c r="P22" s="18"/>
      <c r="Q22" s="18"/>
      <c r="R22" s="18"/>
      <c r="S22" s="18"/>
      <c r="T22" s="18"/>
      <c r="U22" s="18"/>
      <c r="V22" s="18"/>
    </row>
    <row r="23" spans="2:22" ht="15.75" x14ac:dyDescent="0.25">
      <c r="G23" s="1067">
        <v>20</v>
      </c>
      <c r="H23" s="1068" t="s">
        <v>18</v>
      </c>
      <c r="I23" s="635"/>
      <c r="J23" s="270"/>
      <c r="K23" s="281"/>
      <c r="L23" s="1069"/>
      <c r="M23" s="1070"/>
      <c r="N23" s="1070"/>
      <c r="O23" s="1069"/>
      <c r="P23" s="1070"/>
      <c r="Q23" s="1070"/>
      <c r="R23" s="1069"/>
      <c r="S23" s="1070"/>
      <c r="T23" s="1070"/>
      <c r="U23" s="1069"/>
      <c r="V23" s="281"/>
    </row>
    <row r="24" spans="2:22" x14ac:dyDescent="0.25">
      <c r="G24" s="1067">
        <v>35</v>
      </c>
      <c r="H24" s="1068" t="s">
        <v>19</v>
      </c>
      <c r="I24" s="635"/>
    </row>
    <row r="25" spans="2:22" ht="15.75" thickBot="1" x14ac:dyDescent="0.3">
      <c r="G25" s="1067">
        <v>55</v>
      </c>
      <c r="H25" s="1068" t="s">
        <v>20</v>
      </c>
      <c r="I25" s="635"/>
    </row>
    <row r="26" spans="2:22" ht="19.5" thickBot="1" x14ac:dyDescent="0.35">
      <c r="G26" s="1071">
        <v>80</v>
      </c>
      <c r="H26" s="1072" t="s">
        <v>21</v>
      </c>
      <c r="L26" s="467"/>
      <c r="M26" s="1073"/>
      <c r="N26" s="1073" t="s">
        <v>99</v>
      </c>
      <c r="O26" s="1073"/>
      <c r="P26" s="1074"/>
    </row>
    <row r="27" spans="2:22" ht="19.5" thickBot="1" x14ac:dyDescent="0.35">
      <c r="I27" s="648"/>
      <c r="L27" s="1075" t="s">
        <v>46</v>
      </c>
      <c r="M27" s="233"/>
      <c r="N27" s="233"/>
      <c r="O27" s="233"/>
      <c r="P27" s="1076">
        <f>ROUND((0.95*D17)/5,0)*5</f>
        <v>0</v>
      </c>
    </row>
    <row r="28" spans="2:22" ht="15.75" thickBot="1" x14ac:dyDescent="0.3">
      <c r="I28" s="14"/>
      <c r="T28" s="1664"/>
      <c r="U28" s="1664"/>
    </row>
    <row r="29" spans="2:22" ht="15.75" x14ac:dyDescent="0.25">
      <c r="I29" s="14"/>
      <c r="K29" s="653" t="s">
        <v>12</v>
      </c>
      <c r="L29" s="654"/>
      <c r="M29" s="15"/>
      <c r="N29" s="653" t="s">
        <v>245</v>
      </c>
      <c r="O29" s="654"/>
      <c r="P29" s="15"/>
      <c r="Q29" s="653" t="s">
        <v>14</v>
      </c>
      <c r="R29" s="654"/>
      <c r="T29" s="682"/>
    </row>
    <row r="30" spans="2:22" ht="21.75" thickBot="1" x14ac:dyDescent="0.4">
      <c r="F30" s="276" t="s">
        <v>1376</v>
      </c>
      <c r="G30" s="276"/>
      <c r="H30" s="276"/>
      <c r="I30" s="276"/>
      <c r="K30" s="1077">
        <f>L7</f>
        <v>0</v>
      </c>
      <c r="L30" s="775"/>
      <c r="M30" s="27"/>
      <c r="N30" s="1078">
        <v>0</v>
      </c>
      <c r="O30" s="775"/>
      <c r="P30" s="27"/>
      <c r="Q30" s="1077" t="str">
        <f>R7</f>
        <v>EB</v>
      </c>
      <c r="R30" s="775"/>
      <c r="T30" s="682"/>
    </row>
    <row r="31" spans="2:22" ht="18.75" x14ac:dyDescent="0.3">
      <c r="F31" s="15" t="s">
        <v>1236</v>
      </c>
      <c r="J31" s="560" t="s">
        <v>246</v>
      </c>
      <c r="K31" s="10"/>
      <c r="L31" s="658" t="str">
        <f>CONCATENATE(K30,"T")</f>
        <v>0T</v>
      </c>
      <c r="M31" s="658"/>
      <c r="N31" s="10"/>
      <c r="O31" s="658" t="str">
        <f>L31</f>
        <v>0T</v>
      </c>
      <c r="P31" s="658"/>
      <c r="Q31" s="10"/>
      <c r="R31" s="561" t="str">
        <f>L31</f>
        <v>0T</v>
      </c>
      <c r="T31" s="682"/>
      <c r="V31" s="195"/>
    </row>
    <row r="32" spans="2:22" ht="15.75" x14ac:dyDescent="0.25">
      <c r="I32" s="14"/>
      <c r="J32" s="17" t="s">
        <v>247</v>
      </c>
      <c r="K32" s="9"/>
      <c r="L32" s="18" t="str">
        <f>CONCATENATE(Q30,"T")</f>
        <v>EBT</v>
      </c>
      <c r="M32" s="18"/>
      <c r="N32" s="9"/>
      <c r="O32" s="18" t="str">
        <f>L32</f>
        <v>EBT</v>
      </c>
      <c r="P32" s="18"/>
      <c r="Q32" s="9"/>
      <c r="R32" s="570" t="str">
        <f>L32</f>
        <v>EBT</v>
      </c>
      <c r="T32" s="682"/>
    </row>
    <row r="33" spans="2:31" ht="15.75" x14ac:dyDescent="0.25">
      <c r="I33" s="14"/>
      <c r="J33" s="17" t="s">
        <v>1246</v>
      </c>
      <c r="K33" s="661"/>
      <c r="L33" s="18"/>
      <c r="M33" s="18"/>
      <c r="N33" s="9"/>
      <c r="O33" s="18" t="str">
        <f>CONCATENATE(K30,"R",", ",Q30,"R")</f>
        <v>0R, EBR</v>
      </c>
      <c r="P33" s="18"/>
      <c r="Q33" s="661"/>
      <c r="R33" s="570"/>
      <c r="T33" s="682"/>
    </row>
    <row r="34" spans="2:31" ht="15.75" x14ac:dyDescent="0.25">
      <c r="B34" s="15" t="s">
        <v>248</v>
      </c>
      <c r="J34" s="17" t="s">
        <v>249</v>
      </c>
      <c r="K34" s="659">
        <v>0</v>
      </c>
      <c r="L34" s="18"/>
      <c r="M34" s="18"/>
      <c r="N34" s="9"/>
      <c r="O34" s="18" t="str">
        <f>CONCATENATE($O$7,"T",", ",$U$7,"T")</f>
        <v>NBT, SBT</v>
      </c>
      <c r="P34" s="18"/>
      <c r="Q34" s="661"/>
      <c r="R34" s="570"/>
      <c r="T34" s="682"/>
    </row>
    <row r="35" spans="2:31" ht="15.75" x14ac:dyDescent="0.25">
      <c r="B35" t="s">
        <v>250</v>
      </c>
      <c r="I35" s="14"/>
      <c r="J35" s="17" t="s">
        <v>251</v>
      </c>
      <c r="K35" s="659"/>
      <c r="L35" s="18"/>
      <c r="M35" s="18"/>
      <c r="N35" s="9"/>
      <c r="O35" s="18" t="str">
        <f>CONCATENATE($O$7,"L",", ",$U$7,"L")</f>
        <v>NBL, SBL</v>
      </c>
      <c r="P35" s="18"/>
      <c r="Q35" s="661"/>
      <c r="R35" s="570"/>
      <c r="T35" s="682"/>
    </row>
    <row r="36" spans="2:31" ht="15.75" x14ac:dyDescent="0.25">
      <c r="B36" t="s">
        <v>252</v>
      </c>
      <c r="I36" s="14"/>
      <c r="J36" s="17" t="s">
        <v>253</v>
      </c>
      <c r="K36" s="890"/>
      <c r="L36" s="18" t="str">
        <f>CONCATENATE(O7,"R",)</f>
        <v>NBR</v>
      </c>
      <c r="M36" s="18"/>
      <c r="N36" s="9"/>
      <c r="O36" s="18" t="str">
        <f>CONCATENATE($O$7,"R",", ",$U$7,"R")</f>
        <v>NBR, SBR</v>
      </c>
      <c r="P36" s="18"/>
      <c r="Q36" s="9"/>
      <c r="R36" s="570" t="str">
        <f>CONCATENATE(U7,"R","")</f>
        <v>SBR</v>
      </c>
    </row>
    <row r="37" spans="2:31" ht="16.5" thickBot="1" x14ac:dyDescent="0.3">
      <c r="B37" t="s">
        <v>254</v>
      </c>
      <c r="J37" s="19" t="s">
        <v>255</v>
      </c>
      <c r="K37" s="3"/>
      <c r="L37" s="663" t="str">
        <f>CONCATENATE(K30,"L")</f>
        <v>0L</v>
      </c>
      <c r="M37" s="663"/>
      <c r="N37" s="786"/>
      <c r="O37" s="663"/>
      <c r="P37" s="663"/>
      <c r="Q37" s="11"/>
      <c r="R37" s="666" t="str">
        <f>CONCATENATE(Q30,"L")</f>
        <v>EBL</v>
      </c>
    </row>
    <row r="38" spans="2:31" ht="16.5" thickBot="1" x14ac:dyDescent="0.3">
      <c r="B38" t="s">
        <v>256</v>
      </c>
      <c r="J38" s="560" t="s">
        <v>257</v>
      </c>
      <c r="K38" s="658" t="e">
        <f>ROUND((L11+M11)*IF(K31=2,D48,IF(K31=3,D49,1)),0)</f>
        <v>#DIV/0!</v>
      </c>
      <c r="L38" s="658"/>
      <c r="M38" s="658"/>
      <c r="N38" s="1079" t="e">
        <f>ROUND((L11+IF(N33=0,M11,0))*IF(N31=2,D48,IF(N31=3,D49,1)),0)</f>
        <v>#DIV/0!</v>
      </c>
      <c r="O38" s="658"/>
      <c r="P38" s="658"/>
      <c r="Q38" s="1080" t="e">
        <f>ROUND((L11+N11)*IF(Q31=2,D48,IF(Q31=3,D49,1)),0)</f>
        <v>#DIV/0!</v>
      </c>
      <c r="R38" s="561"/>
      <c r="T38" s="682"/>
    </row>
    <row r="39" spans="2:31" ht="16.5" thickBot="1" x14ac:dyDescent="0.3">
      <c r="G39" s="1081" t="s">
        <v>258</v>
      </c>
      <c r="J39" s="17" t="s">
        <v>259</v>
      </c>
      <c r="K39" s="1082" t="e">
        <f>ROUND((R11+T11)*IF(K32=2,D48,IF(K32=3,D49,1)),0)</f>
        <v>#DIV/0!</v>
      </c>
      <c r="L39" s="18"/>
      <c r="M39" s="18"/>
      <c r="N39" s="1083" t="e">
        <f>ROUND((R11+IF(N33=0,S9,0))*IF(N32=2,D48,IF(N32=3,D49,1)),0)</f>
        <v>#DIV/0!</v>
      </c>
      <c r="O39" s="18"/>
      <c r="P39" s="18"/>
      <c r="Q39" s="1082" t="e">
        <f>ROUND((R11+S11)*IF(Q32=2,D48,IF(Q32=3,D49,1)),0)</f>
        <v>#DIV/0!</v>
      </c>
      <c r="R39" s="570"/>
    </row>
    <row r="40" spans="2:31" ht="15.75" x14ac:dyDescent="0.25">
      <c r="C40" s="560" t="s">
        <v>77</v>
      </c>
      <c r="D40" s="484"/>
      <c r="E40" s="561"/>
      <c r="G40" s="1084" t="s">
        <v>260</v>
      </c>
      <c r="J40" s="17" t="s">
        <v>261</v>
      </c>
      <c r="K40" s="659">
        <v>0</v>
      </c>
      <c r="L40" s="18"/>
      <c r="M40" s="18"/>
      <c r="N40" s="1083" t="e">
        <f>ROUND((O11+IF(N36=0,P11,0))*IF(N34=2,D48,IF(N34=3,D49,1)),0)</f>
        <v>#DIV/0!</v>
      </c>
      <c r="O40" s="18"/>
      <c r="P40" s="18"/>
      <c r="Q40" s="661"/>
      <c r="R40" s="570"/>
    </row>
    <row r="41" spans="2:31" ht="16.5" thickBot="1" x14ac:dyDescent="0.3">
      <c r="C41" s="17" t="s">
        <v>262</v>
      </c>
      <c r="E41" s="570"/>
      <c r="G41" s="1085" t="s">
        <v>263</v>
      </c>
      <c r="J41" s="17" t="s">
        <v>1269</v>
      </c>
      <c r="K41" s="659"/>
      <c r="L41" s="18"/>
      <c r="M41" s="18"/>
      <c r="N41" s="1083" t="e">
        <f>ROUND((U11+IF(N36=0,V11,0))*IF(N34=2,D48,IF(N34=3,D49,1)),0)</f>
        <v>#DIV/0!</v>
      </c>
      <c r="O41" s="18"/>
      <c r="P41" s="18"/>
      <c r="Q41" s="661"/>
      <c r="R41" s="570"/>
    </row>
    <row r="42" spans="2:31" ht="15.75" x14ac:dyDescent="0.25">
      <c r="C42" s="17" t="s">
        <v>1243</v>
      </c>
      <c r="E42" s="570"/>
      <c r="J42" s="17" t="s">
        <v>264</v>
      </c>
      <c r="K42" s="659"/>
      <c r="L42" s="18"/>
      <c r="M42" s="18"/>
      <c r="N42" s="1083" t="e">
        <f>ROUND(N11*IF(N35=1,1,D50),0)</f>
        <v>#DIV/0!</v>
      </c>
      <c r="O42" s="18"/>
      <c r="P42" s="18"/>
      <c r="Q42" s="661"/>
      <c r="R42" s="570"/>
    </row>
    <row r="43" spans="2:31" ht="16.5" thickBot="1" x14ac:dyDescent="0.3">
      <c r="C43" s="19" t="s">
        <v>1242</v>
      </c>
      <c r="D43" s="248"/>
      <c r="E43" s="666"/>
      <c r="J43" s="17" t="s">
        <v>265</v>
      </c>
      <c r="K43" s="659"/>
      <c r="L43" s="18"/>
      <c r="M43" s="18"/>
      <c r="N43" s="1083" t="e">
        <f>ROUND(T11*IF(N35=1,1,D50),0)</f>
        <v>#DIV/0!</v>
      </c>
      <c r="O43" s="18"/>
      <c r="P43" s="18"/>
      <c r="Q43" s="661"/>
      <c r="R43" s="570"/>
    </row>
    <row r="44" spans="2:31" ht="15.75" x14ac:dyDescent="0.25">
      <c r="J44" s="17" t="s">
        <v>266</v>
      </c>
      <c r="K44" s="20" t="e">
        <f>P11*1.18</f>
        <v>#DIV/0!</v>
      </c>
      <c r="L44" s="18"/>
      <c r="M44" s="18"/>
      <c r="N44" s="20">
        <f>IF(N36=0,0,K44)</f>
        <v>0</v>
      </c>
      <c r="O44" s="18"/>
      <c r="P44" s="18"/>
      <c r="Q44" s="661"/>
      <c r="R44" s="570"/>
    </row>
    <row r="45" spans="2:31" ht="16.5" thickBot="1" x14ac:dyDescent="0.3">
      <c r="J45" s="17" t="s">
        <v>267</v>
      </c>
      <c r="K45" s="659"/>
      <c r="L45" s="18"/>
      <c r="M45" s="18"/>
      <c r="N45" s="20">
        <f>IF(N36=0,0,Q45)</f>
        <v>0</v>
      </c>
      <c r="O45" s="18"/>
      <c r="P45" s="18"/>
      <c r="Q45" s="20" t="e">
        <f>V11*1.18</f>
        <v>#DIV/0!</v>
      </c>
      <c r="R45" s="570"/>
      <c r="T45" s="18"/>
      <c r="V45" s="802"/>
      <c r="W45" s="18"/>
      <c r="X45" s="18"/>
      <c r="Y45" s="18"/>
      <c r="Z45" s="24"/>
      <c r="AA45" s="18"/>
      <c r="AB45" s="18"/>
      <c r="AC45" s="18"/>
      <c r="AD45" s="18"/>
      <c r="AE45" s="18"/>
    </row>
    <row r="46" spans="2:31" ht="16.5" thickBot="1" x14ac:dyDescent="0.3">
      <c r="C46" s="542" t="s">
        <v>51</v>
      </c>
      <c r="D46" s="526"/>
      <c r="E46" s="526"/>
      <c r="J46" s="19" t="s">
        <v>1247</v>
      </c>
      <c r="K46" s="1086" t="e">
        <f>ROUND(K11*IF(K37=1,1,D50),0)</f>
        <v>#DIV/0!</v>
      </c>
      <c r="L46" s="663"/>
      <c r="M46" s="663"/>
      <c r="N46" s="786"/>
      <c r="O46" s="663"/>
      <c r="P46" s="663"/>
      <c r="Q46" s="1087" t="e">
        <f>ROUND(Q11*IF(Q37=1,1,D50),0)</f>
        <v>#DIV/0!</v>
      </c>
      <c r="R46" s="666"/>
      <c r="T46" s="309"/>
      <c r="V46" s="802"/>
      <c r="W46" s="24"/>
      <c r="X46" s="18"/>
      <c r="Y46" s="18"/>
      <c r="Z46" s="24"/>
      <c r="AA46" s="18"/>
      <c r="AB46" s="18"/>
      <c r="AC46" s="24"/>
      <c r="AD46" s="18"/>
      <c r="AE46" s="18"/>
    </row>
    <row r="47" spans="2:31" ht="16.5" thickBot="1" x14ac:dyDescent="0.3">
      <c r="C47" s="28" t="s">
        <v>75</v>
      </c>
      <c r="D47" s="775" t="s">
        <v>74</v>
      </c>
      <c r="J47" s="673" t="s">
        <v>268</v>
      </c>
      <c r="K47" s="675" t="e">
        <f>ROUND(K39/K32+K46/K37,0)</f>
        <v>#DIV/0!</v>
      </c>
      <c r="L47" s="675" t="e">
        <f>IF(K47&lt;=$P$27,"OK","LOS-F")</f>
        <v>#DIV/0!</v>
      </c>
      <c r="M47" s="675"/>
      <c r="N47" s="675" t="e">
        <f>ROUND(MAX(N38/N31,N39/N32)+MAX(N40/N34,N41/N34,N42/N35,N43/N35),0)</f>
        <v>#DIV/0!</v>
      </c>
      <c r="O47" s="675" t="e">
        <f>IF(N47&lt;=$P$27,"OK","LOS-F")</f>
        <v>#DIV/0!</v>
      </c>
      <c r="P47" s="675"/>
      <c r="Q47" s="675" t="e">
        <f>ROUND(Q38/Q31+Q46/Q37,0)</f>
        <v>#DIV/0!</v>
      </c>
      <c r="R47" s="676" t="e">
        <f>IF(Q47&lt;=$P$27,"OK","LOS-F")</f>
        <v>#DIV/0!</v>
      </c>
      <c r="T47" s="309"/>
      <c r="V47" s="803"/>
      <c r="W47" s="25"/>
      <c r="X47" s="25"/>
      <c r="Y47" s="25"/>
      <c r="Z47" s="25"/>
      <c r="AA47" s="25"/>
      <c r="AB47" s="25"/>
      <c r="AC47" s="25"/>
      <c r="AD47" s="25"/>
      <c r="AE47" s="25"/>
    </row>
    <row r="48" spans="2:31" ht="15.75" x14ac:dyDescent="0.25">
      <c r="C48" s="13" t="s">
        <v>22</v>
      </c>
      <c r="D48" s="578">
        <f>1/0.952</f>
        <v>1.0504201680672269</v>
      </c>
      <c r="G48" s="1088" t="s">
        <v>269</v>
      </c>
      <c r="J48" s="560" t="s">
        <v>820</v>
      </c>
      <c r="K48" s="887"/>
      <c r="L48" s="658"/>
      <c r="M48" s="658"/>
      <c r="N48" s="712" t="e">
        <f>N38/(P27*N31)*IF(N33&lt;&gt;0,1,VLOOKUP($D$13,B60:C64,2,FALSE))*IF(N33&lt;&gt;0,1,IF($D$14="N",1,VLOOKUP($N$31,$B$66:$C$69,2,FALSE)))</f>
        <v>#DIV/0!</v>
      </c>
      <c r="O48" s="658"/>
      <c r="P48" s="658"/>
      <c r="Q48" s="712" t="e">
        <f>Q38/(P27*Q31)</f>
        <v>#DIV/0!</v>
      </c>
      <c r="R48" s="561"/>
      <c r="T48" s="309"/>
      <c r="V48" s="803"/>
      <c r="W48" s="26"/>
      <c r="X48" s="26"/>
      <c r="Y48" s="26"/>
      <c r="Z48" s="25"/>
      <c r="AA48" s="26"/>
      <c r="AB48" s="26"/>
      <c r="AC48" s="26"/>
      <c r="AD48" s="26"/>
      <c r="AE48" s="26"/>
    </row>
    <row r="49" spans="2:31" ht="15.75" x14ac:dyDescent="0.25">
      <c r="C49" s="13" t="s">
        <v>23</v>
      </c>
      <c r="D49" s="578">
        <f>1/0.908</f>
        <v>1.1013215859030836</v>
      </c>
      <c r="G49" s="1089" t="s">
        <v>270</v>
      </c>
      <c r="J49" s="17" t="s">
        <v>821</v>
      </c>
      <c r="K49" s="309" t="e">
        <f>K39/(P27*K32)*1</f>
        <v>#DIV/0!</v>
      </c>
      <c r="L49" s="18"/>
      <c r="M49" s="18"/>
      <c r="N49" s="309" t="e">
        <f>N39/(P27*N32)*IF(N33&lt;&gt;0,1,VLOOKUP(D13,B60:C64,2,FALSE))*IF(N33&lt;&gt;0,1,IF($D$14="N",1,VLOOKUP($N$32,$B$66:$C$69,2,FALSE)))</f>
        <v>#DIV/0!</v>
      </c>
      <c r="O49" s="18"/>
      <c r="P49" s="18"/>
      <c r="Q49" s="715"/>
      <c r="R49" s="570"/>
      <c r="T49" s="309"/>
      <c r="V49" s="803"/>
      <c r="W49" s="26"/>
      <c r="X49" s="26"/>
      <c r="Y49" s="26"/>
      <c r="Z49" s="25"/>
      <c r="AA49" s="26"/>
      <c r="AB49" s="26"/>
      <c r="AC49" s="26"/>
      <c r="AD49" s="26"/>
      <c r="AE49" s="26"/>
    </row>
    <row r="50" spans="2:31" ht="16.5" thickBot="1" x14ac:dyDescent="0.3">
      <c r="C50" s="13" t="s">
        <v>25</v>
      </c>
      <c r="D50" s="578">
        <f>1/0.907</f>
        <v>1.1025358324145533</v>
      </c>
      <c r="G50" s="1090" t="s">
        <v>271</v>
      </c>
      <c r="J50" s="17" t="s">
        <v>1248</v>
      </c>
      <c r="K50" s="715">
        <v>0</v>
      </c>
      <c r="L50" s="18"/>
      <c r="M50" s="18"/>
      <c r="N50" s="309" t="e">
        <f>N40/(P27*N34)*IF(N36&lt;&gt;0,1,VLOOKUP(D13,B60:C64,2,FALSE))*IF(N35&lt;&gt;0,1,IF($D$14="N",1,VLOOKUP($N$34,$B$66:$C$69,2,FALSE)))</f>
        <v>#DIV/0!</v>
      </c>
      <c r="O50" s="18"/>
      <c r="P50" s="18"/>
      <c r="Q50" s="1091"/>
      <c r="R50" s="570"/>
      <c r="T50" s="309"/>
      <c r="V50" s="803"/>
      <c r="W50" s="25"/>
      <c r="X50" s="25"/>
      <c r="Y50" s="25"/>
      <c r="Z50" s="25"/>
      <c r="AA50" s="25"/>
      <c r="AB50" s="25"/>
      <c r="AC50" s="25"/>
      <c r="AD50" s="25"/>
      <c r="AE50" s="25"/>
    </row>
    <row r="51" spans="2:31" ht="16.5" thickBot="1" x14ac:dyDescent="0.3">
      <c r="C51" s="28" t="s">
        <v>24</v>
      </c>
      <c r="D51" s="679">
        <f>1/0.9</f>
        <v>1.1111111111111112</v>
      </c>
      <c r="J51" s="17" t="s">
        <v>1249</v>
      </c>
      <c r="K51" s="715"/>
      <c r="L51" s="18"/>
      <c r="M51" s="18"/>
      <c r="N51" s="309" t="e">
        <f>N41/(P27*N34)*IF(N36&lt;&gt;0,1,VLOOKUP(D13,B60:C64,2,FALSE))*IF(N36&lt;&gt;0,1,IF($D$14="N",1,VLOOKUP($N$34,$B$66:$C$69,2,FALSE)))</f>
        <v>#DIV/0!</v>
      </c>
      <c r="O51" s="18"/>
      <c r="P51" s="18"/>
      <c r="Q51" s="1091"/>
      <c r="R51" s="570"/>
      <c r="T51" s="309"/>
      <c r="U51" s="803"/>
    </row>
    <row r="52" spans="2:31" ht="15.75" x14ac:dyDescent="0.25">
      <c r="C52" s="484"/>
      <c r="D52" s="658"/>
      <c r="E52" s="1092"/>
      <c r="J52" s="17" t="s">
        <v>1250</v>
      </c>
      <c r="K52" s="715"/>
      <c r="L52" s="18"/>
      <c r="M52" s="18"/>
      <c r="N52" s="309" t="e">
        <f>N42*1.05/(N35*P27)</f>
        <v>#DIV/0!</v>
      </c>
      <c r="O52" s="18"/>
      <c r="P52" s="18"/>
      <c r="Q52" s="1091"/>
      <c r="R52" s="570"/>
      <c r="T52" s="25"/>
      <c r="U52" s="803"/>
    </row>
    <row r="53" spans="2:31" ht="15.75" x14ac:dyDescent="0.25">
      <c r="D53" s="18"/>
      <c r="E53" s="1092"/>
      <c r="J53" s="17" t="s">
        <v>1251</v>
      </c>
      <c r="K53" s="715"/>
      <c r="L53" s="18"/>
      <c r="M53" s="18"/>
      <c r="N53" s="309" t="e">
        <f>N43*1.05/(N35*P27)</f>
        <v>#DIV/0!</v>
      </c>
      <c r="O53" s="18"/>
      <c r="P53" s="18"/>
      <c r="Q53" s="1091"/>
      <c r="R53" s="570"/>
      <c r="T53" s="25"/>
      <c r="U53" s="803"/>
    </row>
    <row r="54" spans="2:31" ht="16.5" thickBot="1" x14ac:dyDescent="0.3">
      <c r="D54" s="18"/>
      <c r="E54" s="1092"/>
      <c r="J54" s="17" t="s">
        <v>1252</v>
      </c>
      <c r="K54" s="309" t="e">
        <f>K44/(K36*P27)</f>
        <v>#DIV/0!</v>
      </c>
      <c r="N54" s="715">
        <f>IF(N44=0,0,N44/(N36*P27))</f>
        <v>0</v>
      </c>
      <c r="Q54" s="1091"/>
      <c r="R54" s="570"/>
      <c r="T54" s="25"/>
      <c r="U54" s="803"/>
    </row>
    <row r="55" spans="2:31" ht="15.75" thickBot="1" x14ac:dyDescent="0.3">
      <c r="B55" s="560" t="s">
        <v>1257</v>
      </c>
      <c r="C55" s="484"/>
      <c r="D55" s="561"/>
      <c r="E55" s="1092"/>
      <c r="J55" s="17" t="s">
        <v>1086</v>
      </c>
      <c r="K55" s="789"/>
      <c r="N55" s="715">
        <f>IF(N45=0,0,N45/(N36*P27))</f>
        <v>0</v>
      </c>
      <c r="Q55" s="309" t="e">
        <f>Q45/(Q36*P27)</f>
        <v>#DIV/0!</v>
      </c>
      <c r="R55" s="570"/>
      <c r="T55" s="25"/>
      <c r="U55" s="803"/>
    </row>
    <row r="56" spans="2:31" ht="16.5" thickBot="1" x14ac:dyDescent="0.3">
      <c r="B56" s="19" t="s">
        <v>1258</v>
      </c>
      <c r="C56" s="248"/>
      <c r="D56" s="666"/>
      <c r="E56" s="1092"/>
      <c r="J56" s="19" t="s">
        <v>1253</v>
      </c>
      <c r="K56" s="1093" t="e">
        <f>K46*1.05/(P27*K37)</f>
        <v>#DIV/0!</v>
      </c>
      <c r="L56" s="663"/>
      <c r="M56" s="663"/>
      <c r="N56" s="786"/>
      <c r="O56" s="663"/>
      <c r="P56" s="663"/>
      <c r="Q56" s="717" t="e">
        <f>Q46*1.05/(P27*Q37)</f>
        <v>#DIV/0!</v>
      </c>
      <c r="R56" s="666"/>
    </row>
    <row r="57" spans="2:31" ht="19.5" thickBot="1" x14ac:dyDescent="0.35">
      <c r="E57" s="1092"/>
      <c r="J57" s="1094" t="s">
        <v>272</v>
      </c>
      <c r="K57" s="990"/>
      <c r="L57" s="990"/>
      <c r="M57" s="990"/>
      <c r="N57" s="990"/>
      <c r="O57" s="990"/>
      <c r="P57" s="990"/>
      <c r="Q57" s="990"/>
      <c r="R57" s="902"/>
    </row>
    <row r="58" spans="2:31" ht="16.5" thickBot="1" x14ac:dyDescent="0.3">
      <c r="J58" s="17"/>
      <c r="K58" s="309"/>
      <c r="Q58" s="309"/>
      <c r="T58" s="34"/>
      <c r="U58" s="18"/>
      <c r="V58" s="18"/>
      <c r="W58" s="24"/>
      <c r="X58" s="18"/>
      <c r="Y58" s="18"/>
      <c r="Z58" s="24"/>
    </row>
    <row r="59" spans="2:31" ht="21.75" thickBot="1" x14ac:dyDescent="0.4">
      <c r="B59" s="1023" t="s">
        <v>513</v>
      </c>
      <c r="C59" s="526" t="s">
        <v>1255</v>
      </c>
      <c r="J59" s="461"/>
      <c r="K59" s="1095">
        <f>K30</f>
        <v>0</v>
      </c>
      <c r="L59" s="425"/>
      <c r="M59" s="424"/>
      <c r="N59" s="1096">
        <v>0</v>
      </c>
      <c r="O59" s="425"/>
      <c r="P59" s="424"/>
      <c r="Q59" s="1095" t="str">
        <f>Q30</f>
        <v>EB</v>
      </c>
      <c r="R59" s="425"/>
      <c r="T59" s="572"/>
      <c r="U59" s="18"/>
      <c r="V59" s="18"/>
      <c r="W59" s="34"/>
      <c r="X59" s="18"/>
      <c r="Y59" s="18"/>
      <c r="Z59" s="34"/>
    </row>
    <row r="60" spans="2:31" ht="16.5" thickBot="1" x14ac:dyDescent="0.3">
      <c r="B60" s="801" t="s">
        <v>69</v>
      </c>
      <c r="C60" s="598">
        <v>1.2</v>
      </c>
      <c r="K60" s="680"/>
      <c r="L60" s="680"/>
      <c r="M60" s="680"/>
      <c r="N60" s="680"/>
      <c r="O60" s="680"/>
      <c r="P60" s="680"/>
      <c r="Q60" s="680"/>
      <c r="R60" s="681"/>
      <c r="T60" s="34"/>
      <c r="U60" s="18"/>
      <c r="V60" s="18"/>
      <c r="W60" s="34"/>
      <c r="X60" s="18"/>
      <c r="Y60" s="18"/>
      <c r="Z60" s="34"/>
    </row>
    <row r="61" spans="2:31" ht="15.75" x14ac:dyDescent="0.25">
      <c r="B61" s="801" t="s">
        <v>9</v>
      </c>
      <c r="C61" s="598">
        <v>1.2</v>
      </c>
      <c r="J61" s="1097" t="s">
        <v>110</v>
      </c>
      <c r="K61" s="1098" t="e">
        <f>K49+MAX(K54,K56)</f>
        <v>#DIV/0!</v>
      </c>
      <c r="L61" s="1099"/>
      <c r="M61" s="1099"/>
      <c r="N61" s="1098" t="e">
        <f>MAX(N48,N49)+MAX(N50+N53,N51+N52)</f>
        <v>#DIV/0!</v>
      </c>
      <c r="O61" s="1099"/>
      <c r="P61" s="1099"/>
      <c r="Q61" s="1098" t="e">
        <f>Q48+MAX(Q55,Q56)</f>
        <v>#DIV/0!</v>
      </c>
      <c r="R61" s="1100"/>
      <c r="T61" s="18"/>
      <c r="U61" s="18"/>
      <c r="V61" s="18"/>
      <c r="W61" s="24"/>
      <c r="X61" s="18"/>
      <c r="Y61" s="18"/>
      <c r="Z61" s="35"/>
    </row>
    <row r="62" spans="2:31" ht="15.75" x14ac:dyDescent="0.25">
      <c r="B62" s="801" t="s">
        <v>68</v>
      </c>
      <c r="C62" s="598">
        <v>1.3</v>
      </c>
      <c r="J62" s="1007" t="s">
        <v>1143</v>
      </c>
      <c r="K62" s="1101" t="e">
        <f>IF(K61&gt;0.85-12.75/$D$16,$D$16,MAX($D$15,12.75/(0.85-K61)))</f>
        <v>#DIV/0!</v>
      </c>
      <c r="L62" s="158"/>
      <c r="M62" s="158"/>
      <c r="N62" s="1101" t="e">
        <f>IF(N61&gt;0.85-12.75/$D$16,$D$16,MAX($D$15,12.75/(0.85-N61)))</f>
        <v>#DIV/0!</v>
      </c>
      <c r="O62" s="158"/>
      <c r="P62" s="158"/>
      <c r="Q62" s="1101" t="e">
        <f>IF(Q61&gt;0.85-12.75/$D$16,$D$16,MAX($D$15,12.75/(0.85-Q61)))</f>
        <v>#DIV/0!</v>
      </c>
      <c r="R62" s="570"/>
    </row>
    <row r="63" spans="2:31" ht="19.5" thickBot="1" x14ac:dyDescent="0.35">
      <c r="B63" s="801" t="s">
        <v>70</v>
      </c>
      <c r="C63" s="598">
        <v>1.5</v>
      </c>
      <c r="J63" s="17"/>
      <c r="K63" s="1101"/>
      <c r="L63" s="158"/>
      <c r="M63" s="158"/>
      <c r="N63" s="1101"/>
      <c r="O63" s="158"/>
      <c r="P63" s="158"/>
      <c r="Q63" s="1101"/>
      <c r="R63" s="570"/>
      <c r="T63" s="1061"/>
    </row>
    <row r="64" spans="2:31" ht="16.5" thickBot="1" x14ac:dyDescent="0.3">
      <c r="B64" s="1026" t="s">
        <v>71</v>
      </c>
      <c r="C64" s="710">
        <v>2.1</v>
      </c>
      <c r="J64" s="266" t="s">
        <v>273</v>
      </c>
      <c r="K64" s="6"/>
      <c r="L64" s="1024"/>
      <c r="M64" s="1024"/>
      <c r="N64" s="6"/>
      <c r="O64" s="1024"/>
      <c r="P64" s="1024"/>
      <c r="Q64" s="6"/>
      <c r="R64" s="685"/>
      <c r="T64" s="399"/>
      <c r="AD64" s="14"/>
    </row>
    <row r="65" spans="2:30" ht="16.5" thickBot="1" x14ac:dyDescent="0.3">
      <c r="B65" s="461" t="s">
        <v>274</v>
      </c>
      <c r="C65" s="526" t="s">
        <v>1256</v>
      </c>
      <c r="H65" s="14"/>
      <c r="I65" s="14"/>
      <c r="J65" s="560" t="s">
        <v>275</v>
      </c>
      <c r="K65" s="1102">
        <f>K64</f>
        <v>0</v>
      </c>
      <c r="L65" s="658"/>
      <c r="M65" s="658"/>
      <c r="N65" s="10"/>
      <c r="O65" s="658"/>
      <c r="P65" s="658"/>
      <c r="Q65" s="10"/>
      <c r="R65" s="561"/>
      <c r="AD65" s="14"/>
    </row>
    <row r="66" spans="2:30" ht="15.75" x14ac:dyDescent="0.25">
      <c r="B66" s="801">
        <v>0</v>
      </c>
      <c r="C66" s="598">
        <v>1</v>
      </c>
      <c r="D66" s="21"/>
      <c r="H66" s="14"/>
      <c r="I66" s="14"/>
      <c r="J66" s="17" t="s">
        <v>276</v>
      </c>
      <c r="K66" s="890"/>
      <c r="L66" s="18"/>
      <c r="M66" s="18"/>
      <c r="N66" s="881">
        <f>N65</f>
        <v>0</v>
      </c>
      <c r="O66" s="18"/>
      <c r="P66" s="18"/>
      <c r="Q66" s="881">
        <f>Q64</f>
        <v>0</v>
      </c>
      <c r="R66" s="570"/>
      <c r="AA66" s="14"/>
      <c r="AD66" s="14"/>
    </row>
    <row r="67" spans="2:30" ht="15.75" x14ac:dyDescent="0.25">
      <c r="B67" s="17">
        <v>1</v>
      </c>
      <c r="C67" s="598">
        <v>1.2</v>
      </c>
      <c r="H67" s="14"/>
      <c r="I67" s="14"/>
      <c r="J67" s="17" t="s">
        <v>277</v>
      </c>
      <c r="K67" s="789"/>
      <c r="N67" s="9"/>
      <c r="Q67" s="789"/>
      <c r="R67" s="570"/>
      <c r="AA67" s="14"/>
      <c r="AD67" s="14"/>
    </row>
    <row r="68" spans="2:30" ht="15.75" x14ac:dyDescent="0.25">
      <c r="B68" s="17">
        <v>2</v>
      </c>
      <c r="C68" s="598">
        <v>1.1000000000000001</v>
      </c>
      <c r="H68" s="14"/>
      <c r="I68" s="14"/>
      <c r="J68" s="17" t="s">
        <v>278</v>
      </c>
      <c r="K68" s="789"/>
      <c r="N68" s="881">
        <f>N67</f>
        <v>0</v>
      </c>
      <c r="Q68" s="789"/>
      <c r="R68" s="570"/>
      <c r="T68" s="399"/>
    </row>
    <row r="69" spans="2:30" ht="16.5" thickBot="1" x14ac:dyDescent="0.3">
      <c r="B69" s="19">
        <v>3</v>
      </c>
      <c r="C69" s="710">
        <v>1.05</v>
      </c>
      <c r="E69" s="335"/>
      <c r="J69" s="17" t="s">
        <v>279</v>
      </c>
      <c r="K69" s="789"/>
      <c r="L69" s="18"/>
      <c r="M69" s="18"/>
      <c r="N69" s="881">
        <f>N70</f>
        <v>-15</v>
      </c>
      <c r="O69" s="18"/>
      <c r="P69" s="18"/>
      <c r="Q69" s="789"/>
      <c r="R69" s="570"/>
    </row>
    <row r="70" spans="2:30" ht="15.75" x14ac:dyDescent="0.25">
      <c r="J70" s="17" t="s">
        <v>280</v>
      </c>
      <c r="K70" s="789"/>
      <c r="L70" s="18"/>
      <c r="M70" s="18"/>
      <c r="N70" s="881">
        <f>N64-15-N65-N67</f>
        <v>-15</v>
      </c>
      <c r="O70" s="18"/>
      <c r="P70" s="18"/>
      <c r="Q70" s="819"/>
      <c r="R70" s="570"/>
      <c r="V70" s="275"/>
    </row>
    <row r="71" spans="2:30" ht="16.5" thickBot="1" x14ac:dyDescent="0.3">
      <c r="J71" s="19" t="s">
        <v>281</v>
      </c>
      <c r="K71" s="698">
        <f>K64-K66-10</f>
        <v>-10</v>
      </c>
      <c r="L71" s="248"/>
      <c r="M71" s="248"/>
      <c r="N71" s="805"/>
      <c r="O71" s="248"/>
      <c r="P71" s="248"/>
      <c r="Q71" s="698">
        <f>Q64-Q65-10</f>
        <v>-10</v>
      </c>
      <c r="R71" s="666"/>
      <c r="V71" s="275"/>
    </row>
    <row r="72" spans="2:30" ht="16.5" thickBot="1" x14ac:dyDescent="0.3">
      <c r="C72" t="s">
        <v>222</v>
      </c>
      <c r="J72" s="825" t="s">
        <v>282</v>
      </c>
      <c r="K72" s="1103">
        <f>K64</f>
        <v>0</v>
      </c>
      <c r="L72" s="1104"/>
      <c r="M72" s="1104"/>
      <c r="N72" s="1103" t="e">
        <f>D18*N65+(1-D18)*ROUND(MAX(N48,N49)/N61*(N64-15),0)</f>
        <v>#DIV/0!</v>
      </c>
      <c r="O72" s="1104"/>
      <c r="P72" s="1104"/>
      <c r="Q72" s="1103" t="e">
        <f>ROUND($D$18*Q65+(1-$D$18)*(Q64-10)*Q48/Q61,0)</f>
        <v>#DIV/0!</v>
      </c>
      <c r="R72" s="828"/>
    </row>
    <row r="73" spans="2:30" ht="16.5" thickBot="1" x14ac:dyDescent="0.3">
      <c r="B73" s="1023" t="s">
        <v>223</v>
      </c>
      <c r="C73" s="1024" t="s">
        <v>224</v>
      </c>
      <c r="D73" s="1024" t="s">
        <v>283</v>
      </c>
      <c r="E73" s="1024" t="s">
        <v>226</v>
      </c>
      <c r="F73" s="685" t="s">
        <v>80</v>
      </c>
      <c r="J73" s="829" t="s">
        <v>284</v>
      </c>
      <c r="K73" s="1105" t="e">
        <f>$D$18*K66+(1-D18)*( ROUND((K64-10)*K49/(K61),0))</f>
        <v>#DIV/0!</v>
      </c>
      <c r="L73" s="1106"/>
      <c r="M73" s="1106"/>
      <c r="N73" s="1105" t="e">
        <f>N72</f>
        <v>#DIV/0!</v>
      </c>
      <c r="O73" s="1106"/>
      <c r="P73" s="1106"/>
      <c r="Q73" s="1105">
        <f>Q64</f>
        <v>0</v>
      </c>
      <c r="R73" s="833"/>
    </row>
    <row r="74" spans="2:30" ht="15.75" x14ac:dyDescent="0.25">
      <c r="B74" s="1025" t="s">
        <v>285</v>
      </c>
      <c r="C74" s="658" t="e">
        <f>N43</f>
        <v>#DIV/0!</v>
      </c>
      <c r="D74" s="712" t="e">
        <f>N86</f>
        <v>#DIV/0!</v>
      </c>
      <c r="E74" s="658"/>
      <c r="F74" s="678"/>
      <c r="J74" s="829" t="s">
        <v>286</v>
      </c>
      <c r="K74" s="1107"/>
      <c r="L74" s="1106"/>
      <c r="M74" s="1106"/>
      <c r="N74" s="1105" t="e">
        <f>D18*N67+(1-D18)*ROUND(MAX(N50,N51)/N61*(N64-15),0)</f>
        <v>#DIV/0!</v>
      </c>
      <c r="O74" s="1106"/>
      <c r="P74" s="1106"/>
      <c r="Q74" s="1107"/>
      <c r="R74" s="833"/>
      <c r="T74" s="399"/>
    </row>
    <row r="75" spans="2:30" ht="16.5" thickBot="1" x14ac:dyDescent="0.3">
      <c r="B75" s="1026" t="s">
        <v>287</v>
      </c>
      <c r="C75" s="663" t="e">
        <f>N39</f>
        <v>#DIV/0!</v>
      </c>
      <c r="D75" s="717" t="e">
        <f>N82</f>
        <v>#DIV/0!</v>
      </c>
      <c r="E75" s="663" t="e">
        <f>(C74*D74+C75*D75)/(C74+C75)</f>
        <v>#DIV/0!</v>
      </c>
      <c r="F75" s="928" t="e">
        <f>1-0.91*E75^2.68</f>
        <v>#DIV/0!</v>
      </c>
      <c r="G75" s="471" t="s">
        <v>1142</v>
      </c>
      <c r="J75" s="829" t="s">
        <v>288</v>
      </c>
      <c r="K75" s="1107"/>
      <c r="L75" s="1106"/>
      <c r="M75" s="1106"/>
      <c r="N75" s="1108" t="e">
        <f>N74</f>
        <v>#DIV/0!</v>
      </c>
      <c r="O75" s="1106"/>
      <c r="P75" s="1106"/>
      <c r="Q75" s="1107"/>
      <c r="R75" s="833"/>
    </row>
    <row r="76" spans="2:30" ht="15.75" x14ac:dyDescent="0.25">
      <c r="B76" s="801" t="s">
        <v>289</v>
      </c>
      <c r="C76" s="18" t="e">
        <f>N42</f>
        <v>#DIV/0!</v>
      </c>
      <c r="D76" s="309" t="e">
        <f>N85</f>
        <v>#DIV/0!</v>
      </c>
      <c r="E76" s="18"/>
      <c r="F76" s="578"/>
      <c r="J76" s="829" t="s">
        <v>724</v>
      </c>
      <c r="K76" s="1107"/>
      <c r="L76" s="1106"/>
      <c r="M76" s="1106"/>
      <c r="N76" s="1105" t="e">
        <f>N64-N72-N74-15</f>
        <v>#DIV/0!</v>
      </c>
      <c r="O76" s="1106"/>
      <c r="P76" s="1106"/>
      <c r="Q76" s="1107"/>
      <c r="R76" s="833"/>
    </row>
    <row r="77" spans="2:30" ht="16.5" thickBot="1" x14ac:dyDescent="0.3">
      <c r="B77" s="1026" t="s">
        <v>290</v>
      </c>
      <c r="C77" s="663" t="e">
        <f>Q38</f>
        <v>#DIV/0!</v>
      </c>
      <c r="D77" s="717" t="e">
        <f>N81</f>
        <v>#DIV/0!</v>
      </c>
      <c r="E77" s="663" t="e">
        <f>(C76*D76+C77*D77)/(C76+C77)</f>
        <v>#DIV/0!</v>
      </c>
      <c r="F77" s="1109" t="e">
        <f>1-0.91*E77^2.68</f>
        <v>#DIV/0!</v>
      </c>
      <c r="J77" s="829" t="s">
        <v>725</v>
      </c>
      <c r="K77" s="1110"/>
      <c r="L77" s="1106"/>
      <c r="M77" s="1106"/>
      <c r="N77" s="1105" t="e">
        <f>N76</f>
        <v>#DIV/0!</v>
      </c>
      <c r="O77" s="1106"/>
      <c r="P77" s="1106"/>
      <c r="Q77" s="1111"/>
      <c r="R77" s="833"/>
      <c r="T77" s="399"/>
    </row>
    <row r="78" spans="2:30" ht="16.5" thickBot="1" x14ac:dyDescent="0.3">
      <c r="J78" s="1112" t="s">
        <v>281</v>
      </c>
      <c r="K78" s="1113" t="e">
        <f>K64-K73-10</f>
        <v>#DIV/0!</v>
      </c>
      <c r="L78" s="1114"/>
      <c r="M78" s="1114"/>
      <c r="N78" s="1115"/>
      <c r="O78" s="1114"/>
      <c r="P78" s="1114"/>
      <c r="Q78" s="1116" t="e">
        <f>Q64-Q72-10</f>
        <v>#DIV/0!</v>
      </c>
      <c r="R78" s="835"/>
    </row>
    <row r="79" spans="2:30" ht="19.5" thickBot="1" x14ac:dyDescent="0.35">
      <c r="J79" s="1117" t="s">
        <v>291</v>
      </c>
      <c r="K79" s="738"/>
      <c r="L79" s="738"/>
      <c r="M79" s="738"/>
      <c r="N79" s="738"/>
      <c r="O79" s="738"/>
      <c r="P79" s="738"/>
      <c r="Q79" s="738"/>
      <c r="R79" s="739"/>
    </row>
    <row r="80" spans="2:30" ht="21.75" thickBot="1" x14ac:dyDescent="0.4">
      <c r="J80" s="19"/>
      <c r="K80" s="1118" t="s">
        <v>145</v>
      </c>
      <c r="L80" s="939"/>
      <c r="M80" s="939"/>
      <c r="N80" s="1119">
        <v>0</v>
      </c>
      <c r="O80" s="939"/>
      <c r="P80" s="939"/>
      <c r="Q80" s="1118" t="s">
        <v>292</v>
      </c>
      <c r="R80" s="666"/>
    </row>
    <row r="81" spans="7:18" x14ac:dyDescent="0.25">
      <c r="J81" s="17" t="s">
        <v>293</v>
      </c>
      <c r="K81" s="309">
        <v>0</v>
      </c>
      <c r="L81" s="309"/>
      <c r="M81" s="309"/>
      <c r="N81" s="309" t="e">
        <f>N48/(N72/N64)</f>
        <v>#DIV/0!</v>
      </c>
      <c r="O81" s="309"/>
      <c r="P81" s="309"/>
      <c r="Q81" s="309" t="e">
        <f>Q48/(Q72/Q64)</f>
        <v>#DIV/0!</v>
      </c>
      <c r="R81" s="578"/>
    </row>
    <row r="82" spans="7:18" x14ac:dyDescent="0.25">
      <c r="J82" s="17" t="s">
        <v>125</v>
      </c>
      <c r="K82" s="309" t="e">
        <f>K49/(K73/K64)</f>
        <v>#DIV/0!</v>
      </c>
      <c r="L82" s="309"/>
      <c r="M82" s="309"/>
      <c r="N82" s="309" t="e">
        <f>N49/(N73/N64)</f>
        <v>#DIV/0!</v>
      </c>
      <c r="O82" s="309"/>
      <c r="P82" s="309"/>
      <c r="Q82" s="309" t="e">
        <f>Q49/(Q73/Q64)</f>
        <v>#DIV/0!</v>
      </c>
      <c r="R82" s="578"/>
    </row>
    <row r="83" spans="7:18" ht="15.75" x14ac:dyDescent="0.25">
      <c r="J83" s="17" t="s">
        <v>294</v>
      </c>
      <c r="K83" s="715">
        <v>0</v>
      </c>
      <c r="L83" s="309"/>
      <c r="M83" s="309"/>
      <c r="N83" s="309" t="e">
        <f>N50/(N74/N64)</f>
        <v>#DIV/0!</v>
      </c>
      <c r="O83" s="309"/>
      <c r="P83" s="309"/>
      <c r="Q83" s="1091"/>
      <c r="R83" s="578"/>
    </row>
    <row r="84" spans="7:18" ht="15.75" x14ac:dyDescent="0.25">
      <c r="J84" s="17" t="s">
        <v>295</v>
      </c>
      <c r="K84" s="715"/>
      <c r="L84" s="309"/>
      <c r="M84" s="309"/>
      <c r="N84" s="309" t="e">
        <f>N51/(N75/N64)</f>
        <v>#DIV/0!</v>
      </c>
      <c r="O84" s="309"/>
      <c r="P84" s="309"/>
      <c r="Q84" s="1091"/>
      <c r="R84" s="578"/>
    </row>
    <row r="85" spans="7:18" ht="15.75" x14ac:dyDescent="0.25">
      <c r="J85" s="17" t="s">
        <v>296</v>
      </c>
      <c r="K85" s="715"/>
      <c r="L85" s="309"/>
      <c r="M85" s="309"/>
      <c r="N85" s="309" t="e">
        <f>N52/(N76/N64)</f>
        <v>#DIV/0!</v>
      </c>
      <c r="O85" s="309"/>
      <c r="P85" s="309"/>
      <c r="Q85" s="1091"/>
      <c r="R85" s="578"/>
    </row>
    <row r="86" spans="7:18" ht="15.75" x14ac:dyDescent="0.25">
      <c r="J86" s="17" t="s">
        <v>297</v>
      </c>
      <c r="K86" s="715"/>
      <c r="L86" s="309"/>
      <c r="M86" s="309"/>
      <c r="N86" s="309" t="e">
        <f>N53/(N76/N64)</f>
        <v>#DIV/0!</v>
      </c>
      <c r="O86" s="309"/>
      <c r="P86" s="309"/>
      <c r="Q86" s="1091"/>
      <c r="R86" s="578"/>
    </row>
    <row r="87" spans="7:18" ht="15.75" x14ac:dyDescent="0.25">
      <c r="J87" s="17" t="s">
        <v>298</v>
      </c>
      <c r="K87" s="309" t="e">
        <f>K54/(K78/K64)</f>
        <v>#DIV/0!</v>
      </c>
      <c r="L87" s="309"/>
      <c r="M87" s="309"/>
      <c r="N87" s="715"/>
      <c r="O87" s="309"/>
      <c r="P87" s="309"/>
      <c r="Q87" s="1120" t="e">
        <f>Q55/(Q78/Q64)</f>
        <v>#DIV/0!</v>
      </c>
      <c r="R87" s="578"/>
    </row>
    <row r="88" spans="7:18" ht="16.5" thickBot="1" x14ac:dyDescent="0.3">
      <c r="J88" s="19" t="s">
        <v>299</v>
      </c>
      <c r="K88" s="717" t="e">
        <f>K56/(K78/K64)</f>
        <v>#DIV/0!</v>
      </c>
      <c r="L88" s="717"/>
      <c r="M88" s="717"/>
      <c r="N88" s="1091"/>
      <c r="O88" s="717"/>
      <c r="P88" s="717"/>
      <c r="Q88" s="717" t="e">
        <f>Q56/(Q78/Q64)</f>
        <v>#DIV/0!</v>
      </c>
      <c r="R88" s="679"/>
    </row>
    <row r="89" spans="7:18" x14ac:dyDescent="0.25">
      <c r="G89" s="315" t="s">
        <v>946</v>
      </c>
      <c r="H89" s="316" t="s">
        <v>948</v>
      </c>
      <c r="J89" s="560" t="s">
        <v>300</v>
      </c>
      <c r="K89" s="308">
        <v>1</v>
      </c>
      <c r="L89" s="713"/>
      <c r="M89" s="713"/>
      <c r="N89" s="308" t="e">
        <f>MAX(0,(1-VLOOKUP($D$19,$G$90:$H$95,2,FALSE)*N72/N64)/(1-N72/N64))</f>
        <v>#N/A</v>
      </c>
      <c r="O89" s="713"/>
      <c r="P89" s="713"/>
      <c r="Q89" s="713">
        <v>1</v>
      </c>
      <c r="R89" s="678"/>
    </row>
    <row r="90" spans="7:18" x14ac:dyDescent="0.25">
      <c r="G90" s="317">
        <v>1</v>
      </c>
      <c r="H90" s="318">
        <v>0.33</v>
      </c>
      <c r="J90" s="17" t="s">
        <v>301</v>
      </c>
      <c r="K90" s="308">
        <v>1</v>
      </c>
      <c r="L90" s="308"/>
      <c r="M90" s="308"/>
      <c r="N90" s="308" t="e">
        <f>MAX(0,(1-VLOOKUP($D$19,$G$90:$H$95,2,FALSE)*N73/N64)/(1-N73/N64))</f>
        <v>#N/A</v>
      </c>
      <c r="O90" s="308"/>
      <c r="P90" s="308"/>
      <c r="Q90" s="308">
        <v>1</v>
      </c>
      <c r="R90" s="578"/>
    </row>
    <row r="91" spans="7:18" ht="15.75" x14ac:dyDescent="0.25">
      <c r="G91" s="317">
        <v>2</v>
      </c>
      <c r="H91" s="318">
        <v>0.67</v>
      </c>
      <c r="J91" s="17" t="s">
        <v>302</v>
      </c>
      <c r="K91" s="725">
        <v>0</v>
      </c>
      <c r="L91" s="308"/>
      <c r="M91" s="308"/>
      <c r="N91" s="308">
        <v>1</v>
      </c>
      <c r="O91" s="308"/>
      <c r="P91" s="308"/>
      <c r="Q91" s="1121"/>
      <c r="R91" s="578"/>
    </row>
    <row r="92" spans="7:18" ht="15.75" x14ac:dyDescent="0.25">
      <c r="G92" s="317">
        <v>3</v>
      </c>
      <c r="H92" s="318">
        <v>1</v>
      </c>
      <c r="J92" s="17" t="s">
        <v>303</v>
      </c>
      <c r="K92" s="725"/>
      <c r="L92" s="308"/>
      <c r="M92" s="308"/>
      <c r="N92" s="308">
        <v>1</v>
      </c>
      <c r="O92" s="308"/>
      <c r="P92" s="308"/>
      <c r="Q92" s="1121"/>
      <c r="R92" s="578"/>
    </row>
    <row r="93" spans="7:18" ht="15.75" x14ac:dyDescent="0.25">
      <c r="G93" s="317">
        <v>4</v>
      </c>
      <c r="H93" s="318">
        <v>1.33</v>
      </c>
      <c r="J93" s="17" t="s">
        <v>304</v>
      </c>
      <c r="K93" s="725"/>
      <c r="L93" s="308"/>
      <c r="M93" s="308"/>
      <c r="N93" s="308">
        <v>1</v>
      </c>
      <c r="O93" s="308"/>
      <c r="P93" s="308"/>
      <c r="Q93" s="1121"/>
      <c r="R93" s="578"/>
    </row>
    <row r="94" spans="7:18" ht="15.75" x14ac:dyDescent="0.25">
      <c r="G94" s="317">
        <v>5</v>
      </c>
      <c r="H94" s="318">
        <v>1.67</v>
      </c>
      <c r="J94" s="17" t="s">
        <v>305</v>
      </c>
      <c r="K94" s="725"/>
      <c r="L94" s="308"/>
      <c r="M94" s="308"/>
      <c r="N94" s="308">
        <v>1</v>
      </c>
      <c r="O94" s="308"/>
      <c r="P94" s="308"/>
      <c r="Q94" s="1121"/>
      <c r="R94" s="578"/>
    </row>
    <row r="95" spans="7:18" ht="16.5" thickBot="1" x14ac:dyDescent="0.3">
      <c r="G95" s="330">
        <v>6</v>
      </c>
      <c r="H95" s="331">
        <v>2</v>
      </c>
      <c r="J95" s="17" t="s">
        <v>306</v>
      </c>
      <c r="K95" s="308">
        <v>1</v>
      </c>
      <c r="L95" s="308"/>
      <c r="M95" s="308"/>
      <c r="N95" s="308">
        <v>1</v>
      </c>
      <c r="O95" s="308"/>
      <c r="P95" s="308"/>
      <c r="Q95" s="1122">
        <v>1</v>
      </c>
      <c r="R95" s="578"/>
    </row>
    <row r="96" spans="7:18" ht="15.75" customHeight="1" thickBot="1" x14ac:dyDescent="0.3">
      <c r="J96" s="19" t="s">
        <v>307</v>
      </c>
      <c r="K96" s="718">
        <v>1</v>
      </c>
      <c r="L96" s="718"/>
      <c r="M96" s="718"/>
      <c r="N96" s="1123"/>
      <c r="O96" s="718"/>
      <c r="P96" s="718"/>
      <c r="Q96" s="718">
        <v>1</v>
      </c>
      <c r="R96" s="679"/>
    </row>
    <row r="97" spans="10:18" x14ac:dyDescent="0.25">
      <c r="J97" s="560" t="s">
        <v>308</v>
      </c>
      <c r="K97" s="713">
        <v>0</v>
      </c>
      <c r="L97" s="713"/>
      <c r="M97" s="713"/>
      <c r="N97" s="713" t="e">
        <f>N89*0.5*$N$64*(1-N72/$N$64)^2/(1-MIN(1,N81)*N72/N64)+225*(N81-1+SQRT((N81-1)^2+16*N81/(N38/N81)))</f>
        <v>#N/A</v>
      </c>
      <c r="O97" s="713"/>
      <c r="P97" s="713"/>
      <c r="Q97" s="713" t="e">
        <f>Q89*0.5*Q64*(1-Q72/Q64)^2/(1-Q48)+225*(Q81-1+SQRT((Q81-1)^2+16*Q81/(Q38/Q81)))</f>
        <v>#DIV/0!</v>
      </c>
      <c r="R97" s="678"/>
    </row>
    <row r="98" spans="10:18" x14ac:dyDescent="0.25">
      <c r="J98" s="17" t="s">
        <v>132</v>
      </c>
      <c r="K98" s="308" t="e">
        <f>K90*0.5*K64*(1-K73/K64)^2/(1-K48)+225*(K82-1+SQRT((K82-1)^2+16*K82/(K47/K82)))</f>
        <v>#DIV/0!</v>
      </c>
      <c r="L98" s="308"/>
      <c r="M98" s="308"/>
      <c r="N98" s="308" t="e">
        <f>N90*0.5*$N$64*(1-N73/$N$64)^2/(1-MIN(1,N82)*N73/$N$64)+225*(N82-1+SQRT((N82-1)^2+16*N82/(N39/N82)))</f>
        <v>#N/A</v>
      </c>
      <c r="O98" s="308"/>
      <c r="P98" s="308"/>
      <c r="Q98" s="308">
        <v>0</v>
      </c>
      <c r="R98" s="578"/>
    </row>
    <row r="99" spans="10:18" ht="15.75" x14ac:dyDescent="0.25">
      <c r="J99" s="17" t="s">
        <v>309</v>
      </c>
      <c r="K99" s="725">
        <v>0</v>
      </c>
      <c r="L99" s="308"/>
      <c r="M99" s="308"/>
      <c r="N99" s="308" t="e">
        <f>N91*0.5*$N$64*(1-N74/$N$64)^2/(1-MIN(1,N83)*N74/$N$64)+225*(N83-1+SQRT((N83-1)^2+16*N83/(N40/N83)))</f>
        <v>#DIV/0!</v>
      </c>
      <c r="O99" s="308"/>
      <c r="P99" s="308"/>
      <c r="Q99" s="1121"/>
      <c r="R99" s="578"/>
    </row>
    <row r="100" spans="10:18" ht="15.75" x14ac:dyDescent="0.25">
      <c r="J100" s="17" t="s">
        <v>310</v>
      </c>
      <c r="K100" s="725"/>
      <c r="L100" s="308"/>
      <c r="M100" s="308"/>
      <c r="N100" s="308" t="e">
        <f>N92*0.5*$N$64*(1-N75/$N$64)^2/(1-MIN(1,N84)*N75/$N$64)+225*(N84-1+SQRT((N84-1)^2+16*N84/(N41/N84)))</f>
        <v>#DIV/0!</v>
      </c>
      <c r="O100" s="308"/>
      <c r="P100" s="308"/>
      <c r="Q100" s="1121"/>
      <c r="R100" s="578"/>
    </row>
    <row r="101" spans="10:18" ht="15.75" x14ac:dyDescent="0.25">
      <c r="J101" s="17" t="s">
        <v>311</v>
      </c>
      <c r="K101" s="725"/>
      <c r="L101" s="308"/>
      <c r="M101" s="308"/>
      <c r="N101" s="308" t="e">
        <f>N93*0.5*$N$64*(1-N76/$N$64)^2/(1-MIN(1,N85)*N76/$N$64)+225*(N85-1+SQRT((N85-1)^2+16*N85/(N42/N85)))</f>
        <v>#DIV/0!</v>
      </c>
      <c r="O101" s="308"/>
      <c r="P101" s="308"/>
      <c r="Q101" s="1121"/>
      <c r="R101" s="578"/>
    </row>
    <row r="102" spans="10:18" ht="16.5" thickBot="1" x14ac:dyDescent="0.3">
      <c r="J102" s="17" t="s">
        <v>312</v>
      </c>
      <c r="K102" s="725"/>
      <c r="L102" s="308"/>
      <c r="M102" s="308"/>
      <c r="N102" s="308" t="e">
        <f>N94*0.5*$N$64*(1-N77/$N$64)^2/(1-MIN(1,N86)*N77/$N$64)+225*(N86-1+SQRT((N86-1)^2+16*N86/(N43/N86)))</f>
        <v>#DIV/0!</v>
      </c>
      <c r="O102" s="308"/>
      <c r="P102" s="308"/>
      <c r="Q102" s="1121"/>
      <c r="R102" s="578"/>
    </row>
    <row r="103" spans="10:18" x14ac:dyDescent="0.25">
      <c r="J103" s="17" t="s">
        <v>313</v>
      </c>
      <c r="K103" s="713" t="e">
        <f>0.5*K64*(1-K78/$K$64)^2/(1-MIN(1,K87)*K78/$K$64+225*(K87-1+SQRT((K87-1)^2+16*K87/(K44/K87))))</f>
        <v>#DIV/0!</v>
      </c>
      <c r="L103" s="308"/>
      <c r="M103" s="308"/>
      <c r="N103" s="725">
        <v>0</v>
      </c>
      <c r="O103" s="308"/>
      <c r="P103" s="308"/>
      <c r="Q103" s="713" t="e">
        <f>0.5*Q64*(1-Q78/Q64)^2/(1-Q54)+225*(Q87-1+SQRT((Q87-1)^2+16*Q87/(Q45/Q87)))</f>
        <v>#DIV/0!</v>
      </c>
      <c r="R103" s="578"/>
    </row>
    <row r="104" spans="10:18" ht="16.5" thickBot="1" x14ac:dyDescent="0.3">
      <c r="J104" s="19" t="s">
        <v>314</v>
      </c>
      <c r="K104" s="718" t="e">
        <f>K96*0.5*K64*(1-K78/$K$64)^2/(1-K56)+225*(K88-1+SQRT((K88-1)^2+16*K88/(K46/K88)))</f>
        <v>#DIV/0!</v>
      </c>
      <c r="L104" s="718"/>
      <c r="M104" s="718"/>
      <c r="N104" s="1124">
        <v>0</v>
      </c>
      <c r="O104" s="718"/>
      <c r="P104" s="718"/>
      <c r="Q104" s="718" t="e">
        <f>Q96*0.5*Q64*(1-Q78/Q64)^2/(1-Q56)+225*(Q88-1+SQRT((Q88-1)^2+16*Q88/(Q46/Q88)))</f>
        <v>#DIV/0!</v>
      </c>
      <c r="R104" s="679"/>
    </row>
    <row r="105" spans="10:18" ht="16.5" thickBot="1" x14ac:dyDescent="0.3">
      <c r="J105" s="1125" t="s">
        <v>315</v>
      </c>
      <c r="K105" s="1126" t="e">
        <f>(K97*K38+K98*K39+K44*K103+K46*K104)/SUM(K38:K46)</f>
        <v>#DIV/0!</v>
      </c>
      <c r="L105" s="1126"/>
      <c r="M105" s="1126"/>
      <c r="N105" s="1126" t="e">
        <f>SUMPRODUCT(N97:N102,N38:N43)/SUM(N38:N43)</f>
        <v>#N/A</v>
      </c>
      <c r="O105" s="1126"/>
      <c r="P105" s="1126"/>
      <c r="Q105" s="1126" t="e">
        <f>(Q97*Q38+Q98*Q39+Q45*Q103+Q46*Q104)/SUM(Q38:Q46)</f>
        <v>#DIV/0!</v>
      </c>
      <c r="R105" s="1127"/>
    </row>
    <row r="106" spans="10:18" x14ac:dyDescent="0.25">
      <c r="J106" s="17" t="s">
        <v>316</v>
      </c>
      <c r="K106" s="20">
        <v>0</v>
      </c>
      <c r="L106" s="308"/>
      <c r="M106" s="308"/>
      <c r="N106" s="725" t="e">
        <f>N97*0.5*N76*(1-N84/N76)^2/(1-N60)+225*(N89-1+SQRT((N89-1)^2+16*N89/(#REF!/N89)))</f>
        <v>#N/A</v>
      </c>
      <c r="O106" s="308"/>
      <c r="P106" s="308"/>
      <c r="Q106" s="20" t="e">
        <f>50*Q97*(Q38/Q81)/(3600*Q31)</f>
        <v>#DIV/0!</v>
      </c>
      <c r="R106" s="578" t="s">
        <v>86</v>
      </c>
    </row>
    <row r="107" spans="10:18" x14ac:dyDescent="0.25">
      <c r="J107" s="17" t="s">
        <v>317</v>
      </c>
      <c r="K107" s="20" t="e">
        <f>50*K98*(K39/K82)/(3600*K32)</f>
        <v>#DIV/0!</v>
      </c>
      <c r="L107" s="308" t="s">
        <v>86</v>
      </c>
      <c r="M107" s="308"/>
      <c r="N107" s="725" t="e">
        <f>N98*0.5*N76*(1-N81/N76)^2/(1-N62)+225*(N90-1+SQRT((N90-1)^2+16*N90/(#REF!/N90)))</f>
        <v>#N/A</v>
      </c>
      <c r="O107" s="308"/>
      <c r="P107" s="308"/>
      <c r="Q107" s="20">
        <v>0</v>
      </c>
      <c r="R107" s="578"/>
    </row>
    <row r="108" spans="10:18" ht="15.75" x14ac:dyDescent="0.25">
      <c r="J108" s="17" t="s">
        <v>318</v>
      </c>
      <c r="K108" s="504">
        <v>0</v>
      </c>
      <c r="L108" s="308"/>
      <c r="M108" s="308"/>
      <c r="N108" s="725" t="e">
        <f>0.5*N76*(1-N83/N76)^2/(1-N63)+225*(N91-1+SQRT((N91-1)^2+16*N91/(#REF!/N91)))</f>
        <v>#DIV/0!</v>
      </c>
      <c r="O108" s="308"/>
      <c r="P108" s="308"/>
      <c r="Q108" s="1121"/>
      <c r="R108" s="578"/>
    </row>
    <row r="109" spans="10:18" ht="15.75" x14ac:dyDescent="0.25">
      <c r="J109" s="17" t="s">
        <v>1270</v>
      </c>
      <c r="K109" s="504"/>
      <c r="L109" s="308"/>
      <c r="M109" s="308"/>
      <c r="N109" s="725" t="e">
        <f>N101*0.5*N76*(1-N88/N76)^2/(1-N64)+225*(N92-1+SQRT((N92-1)^2+16*N92/(#REF!/N92)))</f>
        <v>#DIV/0!</v>
      </c>
      <c r="O109" s="308"/>
      <c r="P109" s="308"/>
      <c r="Q109" s="1121"/>
      <c r="R109" s="578"/>
    </row>
    <row r="110" spans="10:18" ht="15.75" x14ac:dyDescent="0.25">
      <c r="J110" s="17" t="s">
        <v>319</v>
      </c>
      <c r="K110" s="504"/>
      <c r="L110" s="308"/>
      <c r="M110" s="308"/>
      <c r="N110" s="725" t="e">
        <f>N101*0.5*N76*(1-N86/N76)^2/(1-N65)+225*(N93-1+SQRT((N93-1)^2+16*N93/(#REF!/N93)))</f>
        <v>#DIV/0!</v>
      </c>
      <c r="O110" s="308"/>
      <c r="P110" s="308"/>
      <c r="Q110" s="1121"/>
      <c r="R110" s="578"/>
    </row>
    <row r="111" spans="10:18" ht="15.75" x14ac:dyDescent="0.25">
      <c r="J111" s="17" t="s">
        <v>320</v>
      </c>
      <c r="K111" s="504"/>
      <c r="L111" s="308"/>
      <c r="M111" s="308"/>
      <c r="N111" s="725" t="e">
        <f>N102*0.5*N76*(1-N86/N76)^2/(1-N66)+225*(N94-1+SQRT((N94-1)^2+16*N94/(#REF!/N94)))</f>
        <v>#DIV/0!</v>
      </c>
      <c r="O111" s="308"/>
      <c r="P111" s="308"/>
      <c r="Q111" s="1121"/>
      <c r="R111" s="578"/>
    </row>
    <row r="112" spans="10:18" ht="16.5" thickBot="1" x14ac:dyDescent="0.3">
      <c r="J112" s="19" t="s">
        <v>321</v>
      </c>
      <c r="K112" s="20" t="e">
        <f>50*K104*(K46/K88)/(3600*K37)</f>
        <v>#DIV/0!</v>
      </c>
      <c r="L112" s="718" t="s">
        <v>86</v>
      </c>
      <c r="M112" s="718"/>
      <c r="N112" s="1123"/>
      <c r="O112" s="718"/>
      <c r="P112" s="718"/>
      <c r="Q112" s="20" t="e">
        <f>50*Q104*(Q46/Q88)/(3600*Q37)</f>
        <v>#DIV/0!</v>
      </c>
      <c r="R112" s="679" t="s">
        <v>86</v>
      </c>
    </row>
    <row r="113" spans="10:18" ht="32.25" thickBot="1" x14ac:dyDescent="0.3">
      <c r="J113" s="1344" t="s">
        <v>1254</v>
      </c>
      <c r="K113" s="1128" t="e">
        <f>IF(K107&gt;$D$11, "NO-LOS F", "YES")</f>
        <v>#DIV/0!</v>
      </c>
      <c r="L113" s="1128"/>
      <c r="M113" s="1128"/>
      <c r="N113" s="1128"/>
      <c r="O113" s="1128"/>
      <c r="P113" s="1128"/>
      <c r="Q113" s="1128" t="e">
        <f>IF(Q106&gt;$D$11, "NO-LOS F", "YES")</f>
        <v>#DIV/0!</v>
      </c>
      <c r="R113" s="685"/>
    </row>
  </sheetData>
  <sheetProtection algorithmName="SHA-512" hashValue="wZVEP97c5b7gEXqdd7IaBlwoG8x7VT6k1g/ZuiAkt+hEhaTR0JQsvC/ZNDFxfoDvfkUkjNtyouSkxCnRgAk8vg==" saltValue="/WsyMPmJoY2T/xUy8YOiAg==" spinCount="100000" sheet="1" objects="1" scenarios="1"/>
  <mergeCells count="9">
    <mergeCell ref="X4:Y4"/>
    <mergeCell ref="X5:Y5"/>
    <mergeCell ref="T28:U28"/>
    <mergeCell ref="B2:D2"/>
    <mergeCell ref="F2:H2"/>
    <mergeCell ref="J2:V2"/>
    <mergeCell ref="F4:G4"/>
    <mergeCell ref="N18:P18"/>
    <mergeCell ref="B19:C19"/>
  </mergeCells>
  <conditionalFormatting sqref="K81:Q88">
    <cfRule type="cellIs" dxfId="60" priority="1" operator="greaterThan">
      <formula>1</formula>
    </cfRule>
    <cfRule type="cellIs" dxfId="59" priority="3" operator="greaterThan">
      <formula>0.9999999999</formula>
    </cfRule>
  </conditionalFormatting>
  <conditionalFormatting sqref="K113:Q113">
    <cfRule type="containsText" dxfId="58" priority="13" operator="containsText" text="LOS F">
      <formula>NOT(ISERROR(SEARCH("LOS F",K113)))</formula>
    </cfRule>
  </conditionalFormatting>
  <conditionalFormatting sqref="K14:V14">
    <cfRule type="colorScale" priority="11">
      <colorScale>
        <cfvo type="min"/>
        <cfvo type="percentile" val="50"/>
        <cfvo type="max"/>
        <color rgb="FF63BE7B"/>
        <color rgb="FFFFEB84"/>
        <color rgb="FFF8696B"/>
      </colorScale>
    </cfRule>
  </conditionalFormatting>
  <conditionalFormatting sqref="K16:V17 O20">
    <cfRule type="cellIs" dxfId="57" priority="4" operator="equal">
      <formula>"F"</formula>
    </cfRule>
  </conditionalFormatting>
  <conditionalFormatting sqref="K17:V17">
    <cfRule type="cellIs" dxfId="56" priority="7" operator="equal">
      <formula>"""F"""</formula>
    </cfRule>
    <cfRule type="colorScale" priority="14">
      <colorScale>
        <cfvo type="min"/>
        <cfvo type="percentile" val="50"/>
        <cfvo type="max"/>
        <color rgb="FF63BE7B"/>
        <color rgb="FFFFEB84"/>
        <color rgb="FFF8696B"/>
      </colorScale>
    </cfRule>
  </conditionalFormatting>
  <conditionalFormatting sqref="L16">
    <cfRule type="colorScale" priority="8">
      <colorScale>
        <cfvo type="min"/>
        <cfvo type="percentile" val="50"/>
        <cfvo type="max"/>
        <color rgb="FF63BE7B"/>
        <color rgb="FFFFEB84"/>
        <color rgb="FFF8696B"/>
      </colorScale>
    </cfRule>
  </conditionalFormatting>
  <conditionalFormatting sqref="M16:N16 K16 P16:Q16 S16:T16 V16">
    <cfRule type="colorScale" priority="10">
      <colorScale>
        <cfvo type="min"/>
        <cfvo type="percentile" val="50"/>
        <cfvo type="max"/>
        <color rgb="FF63BE7B"/>
        <color rgb="FFFFEB84"/>
        <color rgb="FFF8696B"/>
      </colorScale>
    </cfRule>
  </conditionalFormatting>
  <conditionalFormatting sqref="U16 O16 R16">
    <cfRule type="colorScale" priority="5">
      <colorScale>
        <cfvo type="min"/>
        <cfvo type="percentile" val="50"/>
        <cfvo type="max"/>
        <color rgb="FF63BE7B"/>
        <color rgb="FFFFEB84"/>
        <color rgb="FFF8696B"/>
      </colorScale>
    </cfRule>
  </conditionalFormatting>
  <conditionalFormatting sqref="V20">
    <cfRule type="cellIs" dxfId="55" priority="2" operator="equal">
      <formula>"NO-LOS F"</formula>
    </cfRule>
  </conditionalFormatting>
  <conditionalFormatting sqref="V21">
    <cfRule type="containsText" dxfId="54" priority="12" operator="containsText" text="NO">
      <formula>NOT(ISERROR(SEARCH("NO",V21)))</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B1:AD119"/>
  <sheetViews>
    <sheetView topLeftCell="A44" workbookViewId="0">
      <selection activeCell="S72" sqref="S72"/>
    </sheetView>
  </sheetViews>
  <sheetFormatPr defaultColWidth="8.85546875" defaultRowHeight="15" x14ac:dyDescent="0.25"/>
  <cols>
    <col min="1" max="1" width="3.28515625" customWidth="1"/>
    <col min="2" max="2" width="2.7109375" customWidth="1"/>
    <col min="4" max="4" width="48.7109375" customWidth="1"/>
    <col min="5" max="6" width="13" customWidth="1"/>
    <col min="7" max="7" width="8.42578125" customWidth="1"/>
    <col min="8" max="8" width="18.7109375" customWidth="1"/>
    <col min="9" max="9" width="1.7109375" customWidth="1"/>
    <col min="10" max="10" width="54.28515625" customWidth="1"/>
    <col min="11" max="11" width="11.85546875" bestFit="1" customWidth="1"/>
    <col min="13" max="13" width="10.28515625" customWidth="1"/>
    <col min="14" max="14" width="9.7109375" customWidth="1"/>
    <col min="15" max="15" width="11.28515625" customWidth="1"/>
    <col min="16" max="16" width="11.140625" customWidth="1"/>
    <col min="17" max="17" width="11.28515625" customWidth="1"/>
    <col min="20" max="20" width="10.7109375" customWidth="1"/>
    <col min="21" max="21" width="12.14062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565" t="s">
        <v>322</v>
      </c>
      <c r="D3" s="1566"/>
      <c r="E3" s="1567"/>
      <c r="J3" s="1565" t="s">
        <v>1075</v>
      </c>
      <c r="K3" s="1566"/>
      <c r="L3" s="1566"/>
      <c r="M3" s="1566"/>
      <c r="N3" s="1566"/>
      <c r="O3" s="1566"/>
      <c r="P3" s="1566"/>
      <c r="Q3" s="1566"/>
      <c r="R3" s="1566"/>
      <c r="S3" s="1566"/>
      <c r="T3" s="1566"/>
      <c r="U3" s="1566"/>
      <c r="V3" s="1567"/>
    </row>
    <row r="4" spans="3:25" ht="5.25" customHeight="1" thickBot="1" x14ac:dyDescent="0.3"/>
    <row r="5" spans="3:25" ht="20.25" customHeight="1" thickBot="1" x14ac:dyDescent="0.3">
      <c r="C5" s="560" t="s">
        <v>1043</v>
      </c>
      <c r="D5" s="561"/>
      <c r="E5" s="237">
        <f>'GLOBAL INPUTS'!F55</f>
        <v>0</v>
      </c>
      <c r="F5" s="849"/>
      <c r="G5" s="849"/>
      <c r="H5" s="851"/>
    </row>
    <row r="6" spans="3:25" ht="16.5" thickBot="1" x14ac:dyDescent="0.3">
      <c r="C6" s="17" t="s">
        <v>1279</v>
      </c>
      <c r="E6" s="891">
        <f>'GLOBAL INPUTS'!F56</f>
        <v>0</v>
      </c>
      <c r="G6" s="1729"/>
      <c r="H6" s="1729"/>
      <c r="I6" s="1729"/>
      <c r="J6" s="741" t="s">
        <v>6</v>
      </c>
      <c r="K6" s="567">
        <v>2</v>
      </c>
      <c r="L6" s="567">
        <v>2</v>
      </c>
      <c r="M6" s="568">
        <v>2</v>
      </c>
      <c r="N6" s="569">
        <v>4</v>
      </c>
      <c r="O6" s="567">
        <v>4</v>
      </c>
      <c r="P6" s="568">
        <v>4</v>
      </c>
      <c r="Q6" s="569">
        <v>6</v>
      </c>
      <c r="R6" s="567">
        <v>6</v>
      </c>
      <c r="S6" s="568">
        <v>6</v>
      </c>
      <c r="T6" s="569">
        <v>8</v>
      </c>
      <c r="U6" s="567">
        <v>8</v>
      </c>
      <c r="V6" s="568">
        <v>8</v>
      </c>
      <c r="X6" s="1767"/>
      <c r="Y6" s="1767"/>
    </row>
    <row r="7" spans="3:25" ht="15.75" x14ac:dyDescent="0.25">
      <c r="C7" s="17" t="s">
        <v>1274</v>
      </c>
      <c r="E7" s="1129">
        <f>'GLOBAL INPUTS'!F57</f>
        <v>0</v>
      </c>
      <c r="F7" s="483" t="s">
        <v>1035</v>
      </c>
      <c r="G7" s="1648"/>
      <c r="H7" s="1648"/>
      <c r="J7" s="1130" t="s">
        <v>7</v>
      </c>
      <c r="K7" s="32">
        <v>4</v>
      </c>
      <c r="L7" s="32">
        <v>6</v>
      </c>
      <c r="M7" s="574">
        <v>8</v>
      </c>
      <c r="N7" s="575">
        <v>6</v>
      </c>
      <c r="O7" s="32">
        <v>8</v>
      </c>
      <c r="P7" s="574">
        <v>2</v>
      </c>
      <c r="Q7" s="575">
        <v>8</v>
      </c>
      <c r="R7" s="32">
        <v>2</v>
      </c>
      <c r="S7" s="574">
        <v>4</v>
      </c>
      <c r="T7" s="575">
        <v>2</v>
      </c>
      <c r="U7" s="32">
        <v>4</v>
      </c>
      <c r="V7" s="574">
        <v>6</v>
      </c>
      <c r="X7" s="1768"/>
      <c r="Y7" s="1768"/>
    </row>
    <row r="8" spans="3:25" ht="16.5" thickBot="1" x14ac:dyDescent="0.3">
      <c r="C8" s="17" t="s">
        <v>470</v>
      </c>
      <c r="E8" s="1129">
        <f>'GLOBAL INPUTS'!F58</f>
        <v>0</v>
      </c>
      <c r="F8" s="742"/>
      <c r="J8" s="577" t="s">
        <v>8</v>
      </c>
      <c r="K8" s="18" t="s">
        <v>9</v>
      </c>
      <c r="L8" s="18" t="s">
        <v>10</v>
      </c>
      <c r="M8" s="578" t="s">
        <v>11</v>
      </c>
      <c r="N8" s="579" t="s">
        <v>9</v>
      </c>
      <c r="O8" s="18" t="s">
        <v>10</v>
      </c>
      <c r="P8" s="578" t="s">
        <v>11</v>
      </c>
      <c r="Q8" s="579" t="s">
        <v>9</v>
      </c>
      <c r="R8" s="18" t="s">
        <v>10</v>
      </c>
      <c r="S8" s="578" t="s">
        <v>11</v>
      </c>
      <c r="T8" s="579" t="s">
        <v>9</v>
      </c>
      <c r="U8" s="18" t="s">
        <v>10</v>
      </c>
      <c r="V8" s="578" t="s">
        <v>11</v>
      </c>
      <c r="X8" s="1"/>
      <c r="Y8" s="7"/>
    </row>
    <row r="9" spans="3:25" ht="16.5" thickBot="1" x14ac:dyDescent="0.3">
      <c r="C9" s="17" t="s">
        <v>1002</v>
      </c>
      <c r="E9" s="1129">
        <f>'GLOBAL INPUTS'!F59</f>
        <v>0</v>
      </c>
      <c r="F9" s="1131" t="s">
        <v>2</v>
      </c>
      <c r="J9" s="587" t="s">
        <v>41</v>
      </c>
      <c r="K9" s="743"/>
      <c r="L9" s="744">
        <f>E6</f>
        <v>0</v>
      </c>
      <c r="M9" s="745"/>
      <c r="N9" s="746"/>
      <c r="O9" s="744" t="str">
        <f>'GLOBAL INPUTS'!N60</f>
        <v>NB</v>
      </c>
      <c r="P9" s="745"/>
      <c r="Q9" s="746"/>
      <c r="R9" s="744" t="str">
        <f>'GLOBAL INPUTS'!N63</f>
        <v>EB</v>
      </c>
      <c r="S9" s="745"/>
      <c r="T9" s="746"/>
      <c r="U9" s="744" t="str">
        <f>'GLOBAL INPUTS'!N66</f>
        <v>SB</v>
      </c>
      <c r="V9" s="747"/>
      <c r="X9" s="1"/>
      <c r="Y9" s="7"/>
    </row>
    <row r="10" spans="3:25" ht="16.5" thickBot="1" x14ac:dyDescent="0.3">
      <c r="C10" s="591" t="s">
        <v>1271</v>
      </c>
      <c r="D10" s="18"/>
      <c r="E10" s="571">
        <f>'GLOBAL INPUTS'!F60</f>
        <v>0</v>
      </c>
      <c r="F10" s="1131" t="s">
        <v>3</v>
      </c>
      <c r="J10" s="748" t="s">
        <v>1090</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X10" s="1"/>
      <c r="Y10" s="7"/>
    </row>
    <row r="11" spans="3:25" ht="16.5" thickBot="1" x14ac:dyDescent="0.3">
      <c r="C11" s="17" t="s">
        <v>1049</v>
      </c>
      <c r="E11" s="1129">
        <f>'GLOBAL INPUTS'!F63</f>
        <v>0</v>
      </c>
      <c r="F11" s="1131" t="s">
        <v>4</v>
      </c>
      <c r="J11" s="587" t="s">
        <v>91</v>
      </c>
      <c r="K11" s="34">
        <f t="shared" ref="K11:V11" si="0">K10*$E$16</f>
        <v>0</v>
      </c>
      <c r="L11" s="34">
        <f t="shared" si="0"/>
        <v>0</v>
      </c>
      <c r="M11" s="34">
        <f t="shared" si="0"/>
        <v>0</v>
      </c>
      <c r="N11" s="34">
        <f t="shared" si="0"/>
        <v>0</v>
      </c>
      <c r="O11" s="34">
        <f t="shared" si="0"/>
        <v>0</v>
      </c>
      <c r="P11" s="34">
        <f t="shared" si="0"/>
        <v>0</v>
      </c>
      <c r="Q11" s="34">
        <f t="shared" si="0"/>
        <v>0</v>
      </c>
      <c r="R11" s="34">
        <f t="shared" si="0"/>
        <v>0</v>
      </c>
      <c r="S11" s="34">
        <f t="shared" si="0"/>
        <v>0</v>
      </c>
      <c r="T11" s="34">
        <f t="shared" si="0"/>
        <v>0</v>
      </c>
      <c r="U11" s="34">
        <f t="shared" si="0"/>
        <v>0</v>
      </c>
      <c r="V11" s="34">
        <f t="shared" si="0"/>
        <v>0</v>
      </c>
      <c r="X11" s="1"/>
      <c r="Y11" s="7"/>
    </row>
    <row r="12" spans="3:25" ht="15.75" x14ac:dyDescent="0.25">
      <c r="C12" s="17" t="s">
        <v>1050</v>
      </c>
      <c r="E12" s="1129">
        <f>'GLOBAL INPUTS'!F64</f>
        <v>0</v>
      </c>
      <c r="F12" s="1131" t="s">
        <v>4</v>
      </c>
      <c r="J12" s="750" t="s">
        <v>31</v>
      </c>
      <c r="K12" s="274" t="e">
        <f t="shared" ref="K12:V12" si="1">ROUND(K11/$E$8,0)</f>
        <v>#DIV/0!</v>
      </c>
      <c r="L12" s="267" t="e">
        <f t="shared" si="1"/>
        <v>#DIV/0!</v>
      </c>
      <c r="M12" s="267" t="e">
        <f t="shared" si="1"/>
        <v>#DIV/0!</v>
      </c>
      <c r="N12" s="267" t="e">
        <f t="shared" si="1"/>
        <v>#DIV/0!</v>
      </c>
      <c r="O12" s="267" t="e">
        <f t="shared" si="1"/>
        <v>#DIV/0!</v>
      </c>
      <c r="P12" s="267" t="e">
        <f t="shared" si="1"/>
        <v>#DIV/0!</v>
      </c>
      <c r="Q12" s="267" t="e">
        <f t="shared" si="1"/>
        <v>#DIV/0!</v>
      </c>
      <c r="R12" s="267" t="e">
        <f t="shared" si="1"/>
        <v>#DIV/0!</v>
      </c>
      <c r="S12" s="267" t="e">
        <f t="shared" si="1"/>
        <v>#DIV/0!</v>
      </c>
      <c r="T12" s="267" t="e">
        <f t="shared" si="1"/>
        <v>#DIV/0!</v>
      </c>
      <c r="U12" s="267" t="e">
        <f t="shared" si="1"/>
        <v>#DIV/0!</v>
      </c>
      <c r="V12" s="267" t="e">
        <f t="shared" si="1"/>
        <v>#DIV/0!</v>
      </c>
      <c r="X12" s="1"/>
      <c r="Y12" s="7"/>
    </row>
    <row r="13" spans="3:25" ht="16.5" thickBot="1" x14ac:dyDescent="0.3">
      <c r="C13" s="17" t="s">
        <v>61</v>
      </c>
      <c r="E13" s="1129">
        <f>'GLOBAL INPUTS'!F65</f>
        <v>0</v>
      </c>
      <c r="F13" s="1131" t="s">
        <v>1006</v>
      </c>
      <c r="G13" s="1681"/>
      <c r="H13" s="1681"/>
      <c r="J13" s="751" t="s">
        <v>57</v>
      </c>
      <c r="K13" s="752" t="e">
        <f t="shared" ref="K13:V13" si="2">ROUND(K12*(1+$E$9/100),0)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753" t="e">
        <f t="shared" si="2"/>
        <v>#DIV/0!</v>
      </c>
      <c r="X13" s="1"/>
      <c r="Y13" s="7"/>
    </row>
    <row r="14" spans="3:25" ht="16.5" thickBot="1" x14ac:dyDescent="0.3">
      <c r="C14" s="17" t="s">
        <v>1074</v>
      </c>
      <c r="E14" s="1129">
        <f>'GLOBAL INPUTS'!F66</f>
        <v>0</v>
      </c>
      <c r="F14" s="1131"/>
      <c r="G14" s="14"/>
      <c r="J14" s="754" t="s">
        <v>1283</v>
      </c>
      <c r="K14" s="755" t="e">
        <f>K102+Q107+O101</f>
        <v>#N/A</v>
      </c>
      <c r="L14" s="755" t="e">
        <f>K100+N100</f>
        <v>#DIV/0!</v>
      </c>
      <c r="M14" s="756" t="e">
        <f>0.5*(K102+Q106)+0.5*(K102+N102+Q100)</f>
        <v>#DIV/0!</v>
      </c>
      <c r="N14" s="757" t="e">
        <f>O100+Q102+K106+N100</f>
        <v>#DIV/0!</v>
      </c>
      <c r="O14" s="755" t="e">
        <f>O100+Q100</f>
        <v>#DIV/0!</v>
      </c>
      <c r="P14" s="756" t="e">
        <f>O102+K101</f>
        <v>#N/A</v>
      </c>
      <c r="Q14" s="757" t="e">
        <f>N101+K105+Q106</f>
        <v>#DIV/0!</v>
      </c>
      <c r="R14" s="755" t="e">
        <f>N101+Q101</f>
        <v>#DIV/0!</v>
      </c>
      <c r="S14" s="756">
        <f>N103</f>
        <v>0</v>
      </c>
      <c r="T14" s="757" t="e">
        <f>Q105+K107</f>
        <v>#DIV/0!</v>
      </c>
      <c r="U14" s="755" t="e">
        <f>Q101+O101</f>
        <v>#DIV/0!</v>
      </c>
      <c r="V14" s="756" t="e">
        <f>Q101+O103</f>
        <v>#DIV/0!</v>
      </c>
      <c r="X14" s="1"/>
      <c r="Y14" s="1"/>
    </row>
    <row r="15" spans="3:25" ht="15.75" x14ac:dyDescent="0.25">
      <c r="C15" s="1756" t="str">
        <f>'GLOBAL INPUTS'!D67</f>
        <v xml:space="preserve">Coordination arrival type on major road (1=poor; 6=outstanding) </v>
      </c>
      <c r="D15" s="1757"/>
      <c r="E15" s="694">
        <f>'GLOBAL INPUTS'!F67</f>
        <v>0</v>
      </c>
      <c r="F15" s="13"/>
      <c r="J15" s="754" t="s">
        <v>1284</v>
      </c>
      <c r="K15" s="322" t="e">
        <f>E35/(1.47*E7)</f>
        <v>#DIV/0!</v>
      </c>
      <c r="L15" s="322"/>
      <c r="M15" s="604"/>
      <c r="N15" s="322" t="e">
        <f>(2*E10+E35)/(1.47*E7)</f>
        <v>#DIV/0!</v>
      </c>
      <c r="O15" s="322"/>
      <c r="P15" s="604"/>
      <c r="Q15" s="322" t="e">
        <f>E35/(1.47*E7)</f>
        <v>#DIV/0!</v>
      </c>
      <c r="R15" s="322"/>
      <c r="S15" s="604"/>
      <c r="T15" s="322" t="e">
        <f>(E35-2*E10)/(E7*1.47)</f>
        <v>#DIV/0!</v>
      </c>
      <c r="U15" s="322"/>
      <c r="V15" s="604"/>
      <c r="X15" s="1"/>
      <c r="Y15" s="1"/>
    </row>
    <row r="16" spans="3:25" ht="16.5" thickBot="1" x14ac:dyDescent="0.3">
      <c r="C16" s="19" t="s">
        <v>1273</v>
      </c>
      <c r="D16" s="248"/>
      <c r="E16" s="1132">
        <f>'GLOBAL INPUTS'!F68</f>
        <v>0</v>
      </c>
      <c r="F16" s="1133"/>
      <c r="J16" s="754" t="s">
        <v>1285</v>
      </c>
      <c r="K16" s="760" t="e">
        <f t="shared" ref="K16:V16" si="3">K14+K15</f>
        <v>#N/A</v>
      </c>
      <c r="L16" s="760" t="e">
        <f t="shared" si="3"/>
        <v>#DIV/0!</v>
      </c>
      <c r="M16" s="761" t="e">
        <f t="shared" si="3"/>
        <v>#DIV/0!</v>
      </c>
      <c r="N16" s="762" t="e">
        <f t="shared" si="3"/>
        <v>#DIV/0!</v>
      </c>
      <c r="O16" s="760" t="e">
        <f t="shared" si="3"/>
        <v>#DIV/0!</v>
      </c>
      <c r="P16" s="761" t="e">
        <f t="shared" si="3"/>
        <v>#N/A</v>
      </c>
      <c r="Q16" s="762" t="e">
        <f t="shared" si="3"/>
        <v>#DIV/0!</v>
      </c>
      <c r="R16" s="760" t="e">
        <f t="shared" si="3"/>
        <v>#DIV/0!</v>
      </c>
      <c r="S16" s="761">
        <f t="shared" si="3"/>
        <v>0</v>
      </c>
      <c r="T16" s="762" t="e">
        <f t="shared" si="3"/>
        <v>#DIV/0!</v>
      </c>
      <c r="U16" s="760" t="e">
        <f t="shared" si="3"/>
        <v>#DIV/0!</v>
      </c>
      <c r="V16" s="761" t="e">
        <f t="shared" si="3"/>
        <v>#DIV/0!</v>
      </c>
      <c r="X16" s="1"/>
      <c r="Y16" s="2"/>
    </row>
    <row r="17" spans="6:25" ht="16.5" thickBot="1" x14ac:dyDescent="0.3">
      <c r="J17" s="754" t="s">
        <v>1077</v>
      </c>
      <c r="K17" s="203"/>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c r="X17" s="1"/>
      <c r="Y17" s="1"/>
    </row>
    <row r="18" spans="6:25" ht="15.75" thickBot="1" x14ac:dyDescent="0.3">
      <c r="J18" s="763" t="s">
        <v>95</v>
      </c>
      <c r="K18" s="764" t="e">
        <f t="shared" ref="K18:V18" si="4">VLOOKUP(K16,$G$22:$H$27,2,TRUE)</f>
        <v>#N/A</v>
      </c>
      <c r="L18" s="764" t="e">
        <f t="shared" si="4"/>
        <v>#DIV/0!</v>
      </c>
      <c r="M18" s="764" t="e">
        <f t="shared" si="4"/>
        <v>#DIV/0!</v>
      </c>
      <c r="N18" s="764" t="e">
        <f t="shared" si="4"/>
        <v>#DIV/0!</v>
      </c>
      <c r="O18" s="764" t="e">
        <f t="shared" si="4"/>
        <v>#DIV/0!</v>
      </c>
      <c r="P18" s="764" t="e">
        <f t="shared" si="4"/>
        <v>#N/A</v>
      </c>
      <c r="Q18" s="764" t="e">
        <f t="shared" si="4"/>
        <v>#DIV/0!</v>
      </c>
      <c r="R18" s="764" t="e">
        <f t="shared" si="4"/>
        <v>#DIV/0!</v>
      </c>
      <c r="S18" s="764" t="str">
        <f t="shared" si="4"/>
        <v>A</v>
      </c>
      <c r="T18" s="764" t="e">
        <f t="shared" si="4"/>
        <v>#DIV/0!</v>
      </c>
      <c r="U18" s="764" t="e">
        <f t="shared" si="4"/>
        <v>#DIV/0!</v>
      </c>
      <c r="V18" s="764" t="e">
        <f t="shared" si="4"/>
        <v>#DIV/0!</v>
      </c>
      <c r="X18" s="1"/>
      <c r="Y18" s="1"/>
    </row>
    <row r="19" spans="6:25" ht="21.75" thickBot="1" x14ac:dyDescent="0.4">
      <c r="K19" s="767" t="s">
        <v>76</v>
      </c>
      <c r="L19" s="768"/>
      <c r="M19" s="769"/>
      <c r="N19" s="1134" t="e">
        <f>SUMPRODUCT(K14:V14,K13:V13)/SUM(K13:V13)</f>
        <v>#N/A</v>
      </c>
      <c r="O19" s="1135" t="e">
        <f>VLOOKUP(N19,G22:H27,2,TRUE)</f>
        <v>#N/A</v>
      </c>
      <c r="P19" s="616"/>
      <c r="Q19" s="767" t="s">
        <v>40</v>
      </c>
      <c r="R19" s="768"/>
      <c r="S19" s="768"/>
      <c r="T19" s="769"/>
      <c r="U19" s="621" t="e">
        <f>SUMPRODUCT(K13:V13,K16:V16)/SUM(K13:V13)</f>
        <v>#DIV/0!</v>
      </c>
      <c r="V19" s="622" t="e">
        <f>VLOOKUP(U19,G22:H27,2,TRUE)</f>
        <v>#DIV/0!</v>
      </c>
      <c r="X19" s="1"/>
      <c r="Y19" s="1"/>
    </row>
    <row r="20" spans="6:25" ht="19.5" thickBot="1" x14ac:dyDescent="0.35">
      <c r="G20" s="1706" t="s">
        <v>93</v>
      </c>
      <c r="H20" s="1707"/>
      <c r="K20" s="195"/>
      <c r="L20" s="195"/>
      <c r="M20" s="195"/>
      <c r="N20" s="195"/>
      <c r="P20" s="195"/>
      <c r="Q20" s="262" t="s">
        <v>323</v>
      </c>
      <c r="R20" s="263"/>
      <c r="S20" s="263"/>
      <c r="T20" s="263"/>
      <c r="U20" s="264"/>
      <c r="V20" s="773" t="e">
        <f>IF(MAX(N112,O113)&gt;E10,"YES","NO")</f>
        <v>#N/A</v>
      </c>
    </row>
    <row r="21" spans="6:25" ht="19.5" thickBot="1" x14ac:dyDescent="0.35">
      <c r="G21" s="1708" t="s">
        <v>94</v>
      </c>
      <c r="H21" s="1709"/>
      <c r="J21" s="471"/>
      <c r="K21" s="27"/>
      <c r="L21" s="27"/>
      <c r="M21" s="27"/>
      <c r="N21" s="27"/>
      <c r="O21" s="195"/>
      <c r="P21" s="195"/>
      <c r="Q21" s="262" t="s">
        <v>324</v>
      </c>
      <c r="R21" s="263"/>
      <c r="S21" s="263"/>
      <c r="T21" s="263"/>
      <c r="U21" s="264"/>
      <c r="V21" s="773" t="e">
        <f>IF(MAX(K118,K119,Q118,Q119)&gt;2*E10,"YES","NO")</f>
        <v>#DIV/0!</v>
      </c>
    </row>
    <row r="22" spans="6:25" ht="15.75" x14ac:dyDescent="0.25">
      <c r="G22" s="1136">
        <v>0</v>
      </c>
      <c r="H22" s="759" t="s">
        <v>16</v>
      </c>
      <c r="J22" s="258"/>
      <c r="K22" s="18"/>
      <c r="L22" s="18"/>
      <c r="M22" s="18"/>
      <c r="N22" s="18"/>
      <c r="T22" s="15"/>
      <c r="U22" s="15"/>
    </row>
    <row r="23" spans="6:25" ht="15.75" x14ac:dyDescent="0.25">
      <c r="G23" s="1136">
        <v>10</v>
      </c>
      <c r="H23" s="759" t="s">
        <v>17</v>
      </c>
      <c r="J23" s="258"/>
      <c r="K23" s="18"/>
      <c r="L23" s="18"/>
      <c r="M23" s="18"/>
      <c r="N23" s="18"/>
      <c r="O23" s="18"/>
      <c r="P23" s="18"/>
      <c r="Q23" s="18"/>
      <c r="R23" s="18"/>
      <c r="S23" s="18"/>
      <c r="T23" s="18"/>
      <c r="U23" s="18"/>
      <c r="V23" s="18"/>
    </row>
    <row r="24" spans="6:25" ht="16.5" thickBot="1" x14ac:dyDescent="0.3">
      <c r="G24" s="1136">
        <v>20</v>
      </c>
      <c r="H24" s="759" t="s">
        <v>18</v>
      </c>
      <c r="J24" s="258"/>
      <c r="K24" s="18"/>
      <c r="L24" s="18"/>
      <c r="M24" s="18"/>
      <c r="N24" s="18"/>
    </row>
    <row r="25" spans="6:25" ht="19.5" customHeight="1" thickBot="1" x14ac:dyDescent="0.35">
      <c r="G25" s="1136">
        <v>35</v>
      </c>
      <c r="H25" s="759" t="s">
        <v>19</v>
      </c>
      <c r="J25" s="258"/>
      <c r="K25" s="18"/>
      <c r="L25" s="1565" t="s">
        <v>1076</v>
      </c>
      <c r="M25" s="1566"/>
      <c r="N25" s="1566"/>
      <c r="O25" s="1567"/>
    </row>
    <row r="26" spans="6:25" ht="21.75" thickBot="1" x14ac:dyDescent="0.4">
      <c r="G26" s="1136">
        <v>55</v>
      </c>
      <c r="H26" s="759" t="s">
        <v>20</v>
      </c>
      <c r="L26" s="1769" t="s">
        <v>325</v>
      </c>
      <c r="M26" s="1770"/>
      <c r="N26" s="1770"/>
      <c r="O26" s="1770"/>
      <c r="P26" s="1139">
        <f>E13*0.95</f>
        <v>0</v>
      </c>
    </row>
    <row r="27" spans="6:25" ht="16.5" thickBot="1" x14ac:dyDescent="0.3">
      <c r="G27" s="1136">
        <v>80</v>
      </c>
      <c r="H27" s="759" t="s">
        <v>21</v>
      </c>
    </row>
    <row r="28" spans="6:25" ht="15.75" x14ac:dyDescent="0.25">
      <c r="J28" s="1700" t="s">
        <v>955</v>
      </c>
      <c r="K28" s="1771" t="s">
        <v>950</v>
      </c>
      <c r="L28" s="1772"/>
      <c r="M28" s="15"/>
      <c r="N28" s="1773" t="s">
        <v>100</v>
      </c>
      <c r="O28" s="1774"/>
      <c r="P28" s="15"/>
      <c r="Q28" s="1771" t="s">
        <v>951</v>
      </c>
      <c r="R28" s="1772"/>
    </row>
    <row r="29" spans="6:25" ht="15.75" x14ac:dyDescent="0.25">
      <c r="J29" s="1701"/>
      <c r="K29" s="1775"/>
      <c r="L29" s="1719"/>
      <c r="N29" s="1775"/>
      <c r="O29" s="1719"/>
      <c r="P29" s="774"/>
      <c r="Q29" s="1775"/>
      <c r="R29" s="1719"/>
    </row>
    <row r="30" spans="6:25" ht="16.5" thickBot="1" x14ac:dyDescent="0.3">
      <c r="J30" s="1702"/>
      <c r="K30" s="1140" t="s">
        <v>328</v>
      </c>
      <c r="L30" s="1141"/>
      <c r="M30" s="368"/>
      <c r="N30" s="1140"/>
      <c r="O30" s="1141"/>
      <c r="P30" s="368"/>
      <c r="Q30" s="1140" t="s">
        <v>929</v>
      </c>
      <c r="R30" s="666"/>
    </row>
    <row r="31" spans="6:25" ht="15.75" x14ac:dyDescent="0.25">
      <c r="J31" s="560" t="s">
        <v>329</v>
      </c>
      <c r="K31" s="10"/>
      <c r="L31" s="777" t="str">
        <f>CONCATENATE($L$9,"T")</f>
        <v>0T</v>
      </c>
      <c r="M31" s="1142" t="str">
        <f>L31</f>
        <v>0T</v>
      </c>
      <c r="N31" s="10"/>
      <c r="O31" s="10"/>
      <c r="P31" s="1143" t="str">
        <f>CONCATENATE($O$9,"T")</f>
        <v>NBT</v>
      </c>
      <c r="Q31" s="845"/>
      <c r="R31" s="654" t="str">
        <f>CONCATENATE($O$9,"T")</f>
        <v>NBT</v>
      </c>
    </row>
    <row r="32" spans="6:25" ht="15.75" x14ac:dyDescent="0.25">
      <c r="F32" s="1144" t="s">
        <v>1377</v>
      </c>
      <c r="G32" s="1144"/>
      <c r="H32" s="1145"/>
      <c r="J32" s="17" t="s">
        <v>330</v>
      </c>
      <c r="K32" s="9"/>
      <c r="L32" s="276" t="str">
        <f>CONCATENATE($R$9,"T")</f>
        <v>EBT</v>
      </c>
      <c r="M32" s="471" t="str">
        <f>L32</f>
        <v>EBT</v>
      </c>
      <c r="N32" s="9"/>
      <c r="O32" s="9"/>
      <c r="P32" s="276" t="str">
        <f>R32</f>
        <v>SBT</v>
      </c>
      <c r="Q32" s="1255"/>
      <c r="R32" s="662" t="str">
        <f>CONCATENATE($U$9,"T")</f>
        <v>SBT</v>
      </c>
    </row>
    <row r="33" spans="2:30" ht="15.75" x14ac:dyDescent="0.25">
      <c r="F33" s="1144" t="s">
        <v>1236</v>
      </c>
      <c r="G33" s="1145"/>
      <c r="H33" s="1145"/>
      <c r="J33" s="17" t="s">
        <v>331</v>
      </c>
      <c r="K33" s="9"/>
      <c r="L33" s="276" t="str">
        <f>CONCATENATE($L$9,"R")</f>
        <v>0R</v>
      </c>
      <c r="M33" s="471" t="str">
        <f>L33</f>
        <v>0R</v>
      </c>
      <c r="N33" s="9"/>
      <c r="O33" s="9"/>
      <c r="P33" s="276" t="str">
        <f>R33</f>
        <v>NBR</v>
      </c>
      <c r="Q33" s="1255"/>
      <c r="R33" s="662" t="str">
        <f>CONCATENATE($O$9,"R")</f>
        <v>NBR</v>
      </c>
    </row>
    <row r="34" spans="2:30" ht="16.5" thickBot="1" x14ac:dyDescent="0.3">
      <c r="J34" s="17" t="s">
        <v>332</v>
      </c>
      <c r="K34" s="1146">
        <v>0</v>
      </c>
      <c r="L34" s="276"/>
      <c r="M34" s="471" t="str">
        <f>CONCATENATE($R$9,"R")</f>
        <v>EBR</v>
      </c>
      <c r="N34" s="9"/>
      <c r="O34" s="9"/>
      <c r="P34" s="15" t="str">
        <f>CONCATENATE($U$9,"R")</f>
        <v>SBR</v>
      </c>
      <c r="Q34" s="1147">
        <v>0</v>
      </c>
      <c r="R34" s="570"/>
      <c r="S34" s="15"/>
    </row>
    <row r="35" spans="2:30" ht="16.5" thickBot="1" x14ac:dyDescent="0.3">
      <c r="D35" s="461" t="s">
        <v>333</v>
      </c>
      <c r="E35" s="1148">
        <f>ROUND(22/14*E10,0)</f>
        <v>0</v>
      </c>
      <c r="J35" s="17" t="s">
        <v>334</v>
      </c>
      <c r="K35" s="1146">
        <v>0</v>
      </c>
      <c r="L35" s="276"/>
      <c r="M35" s="15"/>
      <c r="N35" s="1149"/>
      <c r="O35" s="1149"/>
      <c r="P35" s="15"/>
      <c r="Q35" s="1147">
        <v>0</v>
      </c>
      <c r="R35" s="570"/>
    </row>
    <row r="36" spans="2:30" ht="18" customHeight="1" x14ac:dyDescent="0.25">
      <c r="C36" s="720"/>
      <c r="J36" s="17" t="s">
        <v>335</v>
      </c>
      <c r="K36" s="9"/>
      <c r="L36" s="276" t="str">
        <f>CONCATENATE($R$9,"L")</f>
        <v>EBL</v>
      </c>
      <c r="M36" s="15"/>
      <c r="N36" s="1149"/>
      <c r="O36" s="1149"/>
      <c r="P36" s="15"/>
      <c r="Q36" s="1255"/>
      <c r="R36" s="662" t="str">
        <f>CONCATENATE($U$9,"L")</f>
        <v>SBL</v>
      </c>
    </row>
    <row r="37" spans="2:30" ht="15.75" x14ac:dyDescent="0.25">
      <c r="J37" s="17" t="s">
        <v>336</v>
      </c>
      <c r="K37" s="9"/>
      <c r="L37" s="276" t="str">
        <f>CONCATENATE($U$9,"R")</f>
        <v>SBR</v>
      </c>
      <c r="M37" s="15"/>
      <c r="N37" s="1149"/>
      <c r="O37" s="1149"/>
      <c r="P37" s="15"/>
      <c r="Q37" s="1255"/>
      <c r="R37" s="662" t="str">
        <f>CONCATENATE($O$9,"R")</f>
        <v>NBR</v>
      </c>
    </row>
    <row r="38" spans="2:30" ht="16.5" thickBot="1" x14ac:dyDescent="0.3">
      <c r="B38" s="1792"/>
      <c r="C38" s="1792"/>
      <c r="D38" s="1792"/>
      <c r="E38" s="1792"/>
      <c r="F38" s="1792"/>
      <c r="G38" s="1792"/>
      <c r="H38" s="1792"/>
      <c r="J38" s="19" t="s">
        <v>337</v>
      </c>
      <c r="K38" s="11"/>
      <c r="L38" s="785" t="str">
        <f>CONCATENATE($U$9,"L")</f>
        <v>SBL</v>
      </c>
      <c r="M38" s="1150"/>
      <c r="N38" s="1151"/>
      <c r="O38" s="1151"/>
      <c r="P38" s="1150"/>
      <c r="Q38" s="847"/>
      <c r="R38" s="665" t="str">
        <f>CONCATENATE($O$9,"L")</f>
        <v>NBL</v>
      </c>
    </row>
    <row r="39" spans="2:30" ht="19.5" thickBot="1" x14ac:dyDescent="0.35">
      <c r="B39" s="27"/>
      <c r="C39" s="195"/>
      <c r="D39" s="27"/>
      <c r="E39" s="18"/>
      <c r="F39" s="18"/>
      <c r="G39" s="18"/>
      <c r="H39" s="18"/>
      <c r="M39" s="248" t="s">
        <v>338</v>
      </c>
      <c r="N39" s="1152" t="s">
        <v>339</v>
      </c>
      <c r="O39" s="939" t="s">
        <v>340</v>
      </c>
    </row>
    <row r="40" spans="2:30" ht="16.5" customHeight="1" x14ac:dyDescent="0.3">
      <c r="B40" s="27"/>
      <c r="C40" s="195"/>
      <c r="D40" s="27"/>
      <c r="E40" s="18"/>
      <c r="F40" s="18"/>
      <c r="G40" s="18"/>
      <c r="H40" s="18"/>
      <c r="J40" s="560" t="s">
        <v>341</v>
      </c>
      <c r="K40" s="731" t="e">
        <f>L13+IF(K33=0,K13*K49+0.5*M13*K49,0)</f>
        <v>#DIV/0!</v>
      </c>
      <c r="L40" s="731"/>
      <c r="M40" s="731"/>
      <c r="N40" s="731" t="e">
        <f>L13+N13+IF(N33=0,0.5*M13*K49)</f>
        <v>#DIV/0!</v>
      </c>
      <c r="O40" s="731" t="e">
        <f>O13+N13+IF(O33=0,P13*O49,0)</f>
        <v>#DIV/0!</v>
      </c>
      <c r="P40" s="731"/>
      <c r="Q40" s="731" t="e">
        <f>O13+IF(Q33=0,N13*Q49,0)</f>
        <v>#DIV/0!</v>
      </c>
      <c r="R40" s="678"/>
    </row>
    <row r="41" spans="2:30" ht="15" customHeight="1" x14ac:dyDescent="0.3">
      <c r="B41" s="27"/>
      <c r="C41" s="195"/>
      <c r="D41" s="27"/>
      <c r="E41" s="18"/>
      <c r="F41" s="18"/>
      <c r="G41" s="18"/>
      <c r="H41" s="158"/>
      <c r="J41" s="1153" t="s">
        <v>342</v>
      </c>
      <c r="K41" s="1154" t="e">
        <f>R13+P13</f>
        <v>#DIV/0!</v>
      </c>
      <c r="L41" s="1154"/>
      <c r="M41" s="1154"/>
      <c r="N41" s="20" t="e">
        <f>R13+Q13+IF(N34=0,S13*N49,0)</f>
        <v>#DIV/0!</v>
      </c>
      <c r="O41" s="1154" t="e">
        <f>U13+T13+IF(O34=0,V13*O49,0)</f>
        <v>#DIV/0!</v>
      </c>
      <c r="P41" s="1154"/>
      <c r="Q41" s="1154" t="e">
        <f>U13+V13</f>
        <v>#DIV/0!</v>
      </c>
      <c r="R41" s="1155"/>
    </row>
    <row r="42" spans="2:30" ht="18.75" x14ac:dyDescent="0.3">
      <c r="B42" s="27"/>
      <c r="C42" s="195"/>
      <c r="D42" s="27"/>
      <c r="E42" s="18"/>
      <c r="F42" s="18"/>
      <c r="G42" s="18"/>
      <c r="H42" s="158"/>
      <c r="J42" s="1156" t="s">
        <v>343</v>
      </c>
      <c r="K42" s="342">
        <f>IF(K33=0,0,K13*K49+0.5*M13*K49)</f>
        <v>0</v>
      </c>
      <c r="L42" s="342"/>
      <c r="M42" s="342"/>
      <c r="N42" s="342">
        <f>IF(N33=0,0,0.5*M13*N49)</f>
        <v>0</v>
      </c>
      <c r="O42" s="342">
        <f>IF(O33=0,0,P13*O49)</f>
        <v>0</v>
      </c>
      <c r="P42" s="342"/>
      <c r="Q42" s="342">
        <f>IF(Q33=0,0,N13*Q49)</f>
        <v>0</v>
      </c>
      <c r="R42" s="1157"/>
      <c r="U42" s="31"/>
    </row>
    <row r="43" spans="2:30" ht="23.25" customHeight="1" x14ac:dyDescent="0.25">
      <c r="B43" s="1158"/>
      <c r="C43" s="1159"/>
      <c r="D43" s="1160"/>
      <c r="E43" s="1161"/>
      <c r="F43" s="1161"/>
      <c r="G43" s="1161"/>
      <c r="H43" s="1161"/>
      <c r="J43" s="1153" t="s">
        <v>344</v>
      </c>
      <c r="K43" s="1162">
        <v>0</v>
      </c>
      <c r="L43" s="1154"/>
      <c r="M43" s="1154"/>
      <c r="N43" s="1154">
        <f>IF(N34=0,0,S13*N49)</f>
        <v>0</v>
      </c>
      <c r="O43" s="1154">
        <f>IF(O34=0,0,V13*N49)</f>
        <v>0</v>
      </c>
      <c r="P43" s="1154"/>
      <c r="Q43" s="1162">
        <v>0</v>
      </c>
      <c r="R43" s="1155"/>
    </row>
    <row r="44" spans="2:30" x14ac:dyDescent="0.25">
      <c r="J44" s="1156" t="s">
        <v>345</v>
      </c>
      <c r="K44" s="1163">
        <v>0</v>
      </c>
      <c r="L44" s="342"/>
      <c r="M44" s="342"/>
      <c r="N44" s="1163"/>
      <c r="O44" s="1163"/>
      <c r="P44" s="342"/>
      <c r="Q44" s="1163">
        <v>0</v>
      </c>
      <c r="R44" s="1157"/>
    </row>
    <row r="45" spans="2:30" x14ac:dyDescent="0.25">
      <c r="D45" s="400"/>
      <c r="J45" s="1153" t="s">
        <v>346</v>
      </c>
      <c r="K45" s="1154" t="e">
        <f>Q13*K50</f>
        <v>#DIV/0!</v>
      </c>
      <c r="L45" s="1154"/>
      <c r="M45" s="1154"/>
      <c r="N45" s="1162"/>
      <c r="O45" s="1162"/>
      <c r="P45" s="1154"/>
      <c r="Q45" s="1154" t="e">
        <f>T13</f>
        <v>#DIV/0!</v>
      </c>
      <c r="R45" s="1155"/>
      <c r="V45" s="21"/>
      <c r="W45" s="22"/>
      <c r="X45" s="23"/>
      <c r="Y45" s="23"/>
      <c r="Z45" s="22"/>
      <c r="AA45" s="23"/>
      <c r="AB45" s="23"/>
      <c r="AC45" s="22"/>
      <c r="AD45" s="23"/>
    </row>
    <row r="46" spans="2:30" x14ac:dyDescent="0.25">
      <c r="D46" s="18" t="s">
        <v>347</v>
      </c>
      <c r="J46" s="17" t="s">
        <v>348</v>
      </c>
      <c r="K46" s="20" t="e">
        <f>N13*K49+IF(K38=0,T13,0)*K50</f>
        <v>#DIV/0!</v>
      </c>
      <c r="L46" s="20"/>
      <c r="M46" s="20"/>
      <c r="N46" s="504"/>
      <c r="O46" s="504"/>
      <c r="P46" s="20"/>
      <c r="Q46" s="20" t="e">
        <f>(0.5*M13+Q13)*Q49+IF(Q38=0,K13*Q50,0)</f>
        <v>#DIV/0!</v>
      </c>
      <c r="R46" s="578"/>
      <c r="V46" s="21"/>
      <c r="W46" s="22"/>
      <c r="X46" s="23"/>
      <c r="Y46" s="23"/>
      <c r="Z46" s="22"/>
      <c r="AA46" s="23"/>
      <c r="AB46" s="23"/>
      <c r="AC46" s="22"/>
      <c r="AD46" s="23"/>
    </row>
    <row r="47" spans="2:30" ht="15.75" thickBot="1" x14ac:dyDescent="0.3">
      <c r="C47" s="258"/>
      <c r="D47" s="18" t="s">
        <v>349</v>
      </c>
      <c r="J47" s="19" t="s">
        <v>350</v>
      </c>
      <c r="K47" s="671">
        <f>IF(K38=0,0,T13*K50)</f>
        <v>0</v>
      </c>
      <c r="L47" s="671"/>
      <c r="M47" s="671"/>
      <c r="N47" s="1164"/>
      <c r="O47" s="1164"/>
      <c r="P47" s="671"/>
      <c r="Q47" s="671">
        <f>IF(Q38=0,0,K13*Q50)</f>
        <v>0</v>
      </c>
      <c r="R47" s="679"/>
      <c r="W47" s="18"/>
      <c r="X47" s="18"/>
      <c r="Y47" s="18"/>
      <c r="Z47" s="18"/>
      <c r="AA47" s="18"/>
      <c r="AB47" s="18"/>
      <c r="AC47" s="18"/>
      <c r="AD47" s="18"/>
    </row>
    <row r="48" spans="2:30" ht="16.5" thickBot="1" x14ac:dyDescent="0.3">
      <c r="D48" s="1165"/>
      <c r="J48" s="1166"/>
      <c r="K48" s="1793" t="s">
        <v>326</v>
      </c>
      <c r="L48" s="1794"/>
      <c r="M48" s="227" t="s">
        <v>338</v>
      </c>
      <c r="N48" s="424" t="s">
        <v>339</v>
      </c>
      <c r="O48" s="424" t="s">
        <v>340</v>
      </c>
      <c r="P48" s="1168"/>
      <c r="Q48" s="1795" t="s">
        <v>327</v>
      </c>
      <c r="R48" s="1796"/>
      <c r="T48" s="682"/>
      <c r="V48" s="802"/>
      <c r="W48" s="18"/>
      <c r="X48" s="18"/>
      <c r="Y48" s="18"/>
      <c r="Z48" s="24"/>
      <c r="AA48" s="18"/>
      <c r="AB48" s="18"/>
      <c r="AC48" s="18"/>
      <c r="AD48" s="18"/>
    </row>
    <row r="49" spans="4:30" ht="15.75" x14ac:dyDescent="0.25">
      <c r="J49" s="560" t="s">
        <v>1286</v>
      </c>
      <c r="K49" s="713">
        <v>1.18</v>
      </c>
      <c r="L49" s="713"/>
      <c r="M49" s="713"/>
      <c r="N49" s="713">
        <f>K49</f>
        <v>1.18</v>
      </c>
      <c r="O49" s="713">
        <v>1.18</v>
      </c>
      <c r="P49" s="713"/>
      <c r="Q49" s="713">
        <f>K49</f>
        <v>1.18</v>
      </c>
      <c r="R49" s="561"/>
      <c r="V49" s="802"/>
      <c r="W49" s="18"/>
      <c r="X49" s="18"/>
      <c r="Y49" s="18"/>
      <c r="Z49" s="24"/>
      <c r="AA49" s="18"/>
      <c r="AB49" s="18"/>
      <c r="AC49" s="18"/>
      <c r="AD49" s="18"/>
    </row>
    <row r="50" spans="4:30" ht="16.5" thickBot="1" x14ac:dyDescent="0.3">
      <c r="J50" s="19" t="s">
        <v>1238</v>
      </c>
      <c r="K50" s="718">
        <v>1.05</v>
      </c>
      <c r="L50" s="718"/>
      <c r="M50" s="718"/>
      <c r="N50" s="718">
        <v>1</v>
      </c>
      <c r="O50" s="718">
        <v>2</v>
      </c>
      <c r="P50" s="718"/>
      <c r="Q50" s="718">
        <f>K50</f>
        <v>1.05</v>
      </c>
      <c r="R50" s="666"/>
      <c r="V50" s="802"/>
      <c r="W50" s="24"/>
      <c r="X50" s="18"/>
      <c r="Y50" s="18"/>
      <c r="Z50" s="24"/>
      <c r="AA50" s="18"/>
      <c r="AB50" s="18"/>
      <c r="AC50" s="24"/>
      <c r="AD50" s="18"/>
    </row>
    <row r="51" spans="4:30" ht="15.75" thickBot="1" x14ac:dyDescent="0.3">
      <c r="K51" s="308"/>
      <c r="L51" s="308"/>
      <c r="M51" s="308"/>
      <c r="N51" s="308"/>
      <c r="O51" s="308"/>
      <c r="P51" s="308"/>
      <c r="Q51" s="308"/>
      <c r="R51" s="570"/>
      <c r="V51" s="803"/>
      <c r="W51" s="25"/>
      <c r="X51" s="25"/>
      <c r="Y51" s="25"/>
      <c r="Z51" s="25"/>
      <c r="AA51" s="25"/>
      <c r="AB51" s="25"/>
      <c r="AC51" s="25"/>
      <c r="AD51" s="25"/>
    </row>
    <row r="52" spans="4:30" ht="26.25" x14ac:dyDescent="0.4">
      <c r="D52" s="1170"/>
      <c r="J52" s="560" t="s">
        <v>351</v>
      </c>
      <c r="K52" s="712" t="e">
        <f>(K40/K31)/$P$26</f>
        <v>#DIV/0!</v>
      </c>
      <c r="L52" s="1171" t="e">
        <f>1-L53</f>
        <v>#DIV/0!</v>
      </c>
      <c r="M52" s="658"/>
      <c r="N52" s="712" t="e">
        <f>N40/N31/$P$26</f>
        <v>#DIV/0!</v>
      </c>
      <c r="O52" s="712" t="e">
        <f>O40/O31/$P$26</f>
        <v>#DIV/0!</v>
      </c>
      <c r="P52" s="658"/>
      <c r="Q52" s="712" t="e">
        <f>(Q40/Q31)/$P$26</f>
        <v>#DIV/0!</v>
      </c>
      <c r="R52" s="1172" t="e">
        <f>1-R53</f>
        <v>#DIV/0!</v>
      </c>
      <c r="V52" s="803"/>
      <c r="W52" s="26"/>
      <c r="X52" s="26"/>
      <c r="Y52" s="26"/>
      <c r="Z52" s="25"/>
      <c r="AA52" s="26"/>
      <c r="AB52" s="26"/>
      <c r="AC52" s="26"/>
      <c r="AD52" s="26"/>
    </row>
    <row r="53" spans="4:30" x14ac:dyDescent="0.25">
      <c r="J53" s="17" t="s">
        <v>352</v>
      </c>
      <c r="K53" s="309" t="e">
        <f>(K41/K32)/$P$26</f>
        <v>#DIV/0!</v>
      </c>
      <c r="L53" s="1173" t="e">
        <f>IF(K53&gt;K52+K57,1,0)</f>
        <v>#DIV/0!</v>
      </c>
      <c r="M53" s="18"/>
      <c r="N53" s="309" t="e">
        <f>N41/N32/$P$26</f>
        <v>#DIV/0!</v>
      </c>
      <c r="O53" s="309" t="e">
        <f>O41/O32/$P$26</f>
        <v>#DIV/0!</v>
      </c>
      <c r="P53" s="18"/>
      <c r="Q53" s="309" t="e">
        <f>(Q41/Q32)/$P$26</f>
        <v>#DIV/0!</v>
      </c>
      <c r="R53" s="1174" t="e">
        <f>IF(Q53&gt;Q52+Q57,1,0)</f>
        <v>#DIV/0!</v>
      </c>
      <c r="T53" s="275"/>
      <c r="V53" s="803"/>
      <c r="W53" s="26"/>
      <c r="X53" s="26"/>
      <c r="Y53" s="26"/>
      <c r="Z53" s="25"/>
      <c r="AA53" s="26"/>
      <c r="AB53" s="26"/>
      <c r="AC53" s="26"/>
      <c r="AD53" s="26"/>
    </row>
    <row r="54" spans="4:30" x14ac:dyDescent="0.25">
      <c r="J54" s="1156" t="s">
        <v>1287</v>
      </c>
      <c r="K54" s="1175">
        <f>IF(K33=0,0,(K42/K33)/$P$26)</f>
        <v>0</v>
      </c>
      <c r="L54" s="1176"/>
      <c r="M54" s="1177"/>
      <c r="N54" s="1175">
        <f>IF(N33=0,0,N42/N33/$P$26)</f>
        <v>0</v>
      </c>
      <c r="O54" s="1175">
        <f>IF(O33=0,0,O42/O33/$P$26)</f>
        <v>0</v>
      </c>
      <c r="P54" s="1177"/>
      <c r="Q54" s="1175">
        <f>IF(Q33=0,0,(Q42/Q33)/$P$26)</f>
        <v>0</v>
      </c>
      <c r="R54" s="1178"/>
      <c r="T54" s="275"/>
      <c r="V54" s="803"/>
      <c r="W54" s="26"/>
      <c r="X54" s="26"/>
      <c r="Y54" s="26"/>
      <c r="Z54" s="25"/>
      <c r="AA54" s="26"/>
      <c r="AB54" s="26"/>
      <c r="AC54" s="26"/>
      <c r="AD54" s="26"/>
    </row>
    <row r="55" spans="4:30" x14ac:dyDescent="0.25">
      <c r="H55" s="400" t="e">
        <f>Q52+Q57</f>
        <v>#DIV/0!</v>
      </c>
      <c r="J55" s="1153" t="s">
        <v>1288</v>
      </c>
      <c r="K55" s="1179">
        <f>IF(K34=0,0,(K43/K34)/$P$26)</f>
        <v>0</v>
      </c>
      <c r="L55" s="1180"/>
      <c r="M55" s="328"/>
      <c r="N55" s="1181">
        <f>IF(N34=0,0,N43/N34/$P$26)</f>
        <v>0</v>
      </c>
      <c r="O55" s="1181">
        <f>IF(O34=0,0,O43/O34/$P$26)</f>
        <v>0</v>
      </c>
      <c r="P55" s="328"/>
      <c r="Q55" s="1179">
        <f>IF(Q34=0,0,(Q43/Q34)/$P$26)</f>
        <v>0</v>
      </c>
      <c r="R55" s="1182"/>
      <c r="T55" s="275"/>
      <c r="V55" s="803"/>
      <c r="W55" s="26"/>
      <c r="X55" s="26"/>
      <c r="Y55" s="26"/>
      <c r="Z55" s="25"/>
      <c r="AA55" s="26"/>
      <c r="AB55" s="26"/>
      <c r="AC55" s="26"/>
      <c r="AD55" s="26"/>
    </row>
    <row r="56" spans="4:30" x14ac:dyDescent="0.25">
      <c r="H56" t="e">
        <f>H55/Q61</f>
        <v>#DIV/0!</v>
      </c>
      <c r="J56" s="17" t="s">
        <v>1289</v>
      </c>
      <c r="K56" s="715">
        <f>IF(K35=0,0,(K44/K35)/$P$26)</f>
        <v>0</v>
      </c>
      <c r="L56" s="1173"/>
      <c r="M56" s="18"/>
      <c r="N56" s="789"/>
      <c r="O56" s="789"/>
      <c r="P56" s="18"/>
      <c r="Q56" s="715">
        <f>IF(Q35=0,0,(Q44/Q35)/$P$26)</f>
        <v>0</v>
      </c>
      <c r="R56" s="1174"/>
      <c r="V56" s="803"/>
      <c r="W56" s="25"/>
      <c r="X56" s="25"/>
      <c r="Y56" s="25"/>
      <c r="Z56" s="25"/>
      <c r="AA56" s="25"/>
      <c r="AB56" s="25"/>
      <c r="AC56" s="25"/>
      <c r="AD56" s="25"/>
    </row>
    <row r="57" spans="4:30" x14ac:dyDescent="0.25">
      <c r="H57" t="e">
        <f>H56*85</f>
        <v>#DIV/0!</v>
      </c>
      <c r="J57" s="1153" t="s">
        <v>1290</v>
      </c>
      <c r="K57" s="1181">
        <f>IF(K36=0,0,(K45/K36)/$P$26)</f>
        <v>0</v>
      </c>
      <c r="L57" s="1180" t="e">
        <f>L52</f>
        <v>#DIV/0!</v>
      </c>
      <c r="M57" s="328"/>
      <c r="N57" s="789"/>
      <c r="O57" s="789"/>
      <c r="P57" s="328"/>
      <c r="Q57" s="1181">
        <f>IF(Q36=0,0,(Q45/Q36)/$P$26)</f>
        <v>0</v>
      </c>
      <c r="R57" s="1182" t="e">
        <f>R52</f>
        <v>#DIV/0!</v>
      </c>
      <c r="S57" s="23"/>
    </row>
    <row r="58" spans="4:30" x14ac:dyDescent="0.25">
      <c r="H58" t="e">
        <f>H57+5</f>
        <v>#DIV/0!</v>
      </c>
      <c r="J58" s="17" t="s">
        <v>1291</v>
      </c>
      <c r="K58" s="309" t="e">
        <f>(K46/K37)/$P$26</f>
        <v>#DIV/0!</v>
      </c>
      <c r="L58" s="1173">
        <f>IF(K38=0,1,0)</f>
        <v>1</v>
      </c>
      <c r="M58" s="18"/>
      <c r="N58" s="789"/>
      <c r="O58" s="789"/>
      <c r="P58" s="18"/>
      <c r="Q58" s="309" t="e">
        <f>(Q46/Q37)/$P$26</f>
        <v>#DIV/0!</v>
      </c>
      <c r="R58" s="1174">
        <f>IF(Q38=0,1,0)</f>
        <v>1</v>
      </c>
      <c r="S58" s="18"/>
    </row>
    <row r="59" spans="4:30" ht="15.75" thickBot="1" x14ac:dyDescent="0.3">
      <c r="J59" s="19" t="s">
        <v>1292</v>
      </c>
      <c r="K59" s="717">
        <f>IF(K38=0,0,(K47/K38)/$P$26)</f>
        <v>0</v>
      </c>
      <c r="L59" s="1183">
        <f>1-L58</f>
        <v>0</v>
      </c>
      <c r="M59" s="663"/>
      <c r="N59" s="805"/>
      <c r="O59" s="805"/>
      <c r="P59" s="663"/>
      <c r="Q59" s="717">
        <f>IF(Q38=0,0,(Q47/Q38)/$P$26)</f>
        <v>0</v>
      </c>
      <c r="R59" s="1184">
        <f>1-R58</f>
        <v>0</v>
      </c>
      <c r="S59" s="18"/>
    </row>
    <row r="60" spans="4:30" ht="16.5" thickBot="1" x14ac:dyDescent="0.3">
      <c r="J60" s="19"/>
      <c r="K60" s="1185" t="str">
        <f>K30</f>
        <v>2Q8</v>
      </c>
      <c r="L60" s="663"/>
      <c r="M60" s="227" t="s">
        <v>338</v>
      </c>
      <c r="N60" s="424" t="s">
        <v>339</v>
      </c>
      <c r="O60" s="424" t="s">
        <v>340</v>
      </c>
      <c r="P60" s="663"/>
      <c r="Q60" s="1185" t="str">
        <f>Q30</f>
        <v>8Q2</v>
      </c>
      <c r="R60" s="666"/>
      <c r="S60" s="24"/>
    </row>
    <row r="61" spans="4:30" ht="19.5" thickBot="1" x14ac:dyDescent="0.35">
      <c r="G61" s="1186"/>
      <c r="H61" s="572"/>
      <c r="J61" s="806" t="s">
        <v>110</v>
      </c>
      <c r="K61" s="1187" t="e">
        <f>MAX((K57+MAX(K52,K54)),K53)+MAX(K58,K59)</f>
        <v>#DIV/0!</v>
      </c>
      <c r="L61" s="1188"/>
      <c r="M61" s="1188"/>
      <c r="N61" s="1797" t="e">
        <f>MAX(N52,N53,N54,N55)+MAX(O52,O53,O54,O55)</f>
        <v>#DIV/0!</v>
      </c>
      <c r="O61" s="1797"/>
      <c r="P61" s="1188"/>
      <c r="Q61" s="1187" t="e">
        <f>MAX(Q53,Q57+Q52,Q57+Q54)+IF(Q38=0,Q58,Q59)</f>
        <v>#DIV/0!</v>
      </c>
      <c r="R61" s="1189"/>
      <c r="S61" s="18"/>
    </row>
    <row r="62" spans="4:30" ht="19.5" thickBot="1" x14ac:dyDescent="0.35">
      <c r="G62" s="1190"/>
      <c r="H62" s="572"/>
      <c r="J62" s="1720" t="s">
        <v>353</v>
      </c>
      <c r="K62" s="1721"/>
      <c r="L62" s="1721"/>
      <c r="M62" s="1721"/>
      <c r="N62" s="1721"/>
      <c r="O62" s="1721"/>
      <c r="P62" s="1721"/>
      <c r="Q62" s="1721"/>
      <c r="R62" s="1722"/>
      <c r="S62" s="18"/>
    </row>
    <row r="63" spans="4:30" ht="16.5" thickBot="1" x14ac:dyDescent="0.3">
      <c r="G63" s="1776"/>
      <c r="H63" s="1776"/>
      <c r="J63" s="591" t="s">
        <v>354</v>
      </c>
      <c r="K63" s="1191" t="e">
        <f>IF(L53=1,10,15)</f>
        <v>#DIV/0!</v>
      </c>
      <c r="L63" s="1191"/>
      <c r="M63" s="1191"/>
      <c r="N63" s="1191">
        <v>10</v>
      </c>
      <c r="O63" s="1191"/>
      <c r="P63" s="1191"/>
      <c r="Q63" s="1191" t="e">
        <f>IF(R53=1,10,15)</f>
        <v>#DIV/0!</v>
      </c>
      <c r="R63" s="811"/>
      <c r="S63" s="1777" t="s">
        <v>355</v>
      </c>
      <c r="T63" s="1778"/>
    </row>
    <row r="64" spans="4:30" ht="15.75" thickBot="1" x14ac:dyDescent="0.3">
      <c r="J64" s="17" t="s">
        <v>356</v>
      </c>
      <c r="K64" s="20" t="e">
        <f>IF(K61&gt;0.85-8.5/$E$12,$E$12,MAX($E$11,8.5/(0.85-K61)))</f>
        <v>#DIV/0!</v>
      </c>
      <c r="L64" s="18"/>
      <c r="M64" s="18"/>
      <c r="N64" s="20" t="e">
        <f>IF(N61&gt;0.85-8.5/$E$12,$E$12,MAX($E$11,8.5/(0.85-N61)))</f>
        <v>#DIV/0!</v>
      </c>
      <c r="O64" s="18"/>
      <c r="P64" s="18"/>
      <c r="Q64" s="18" t="e">
        <f>IF(Q61&gt;0.85-8.5/$E$12,$E$12,MAX($E$11,8.5/(0.85-Q61)))</f>
        <v>#DIV/0!</v>
      </c>
      <c r="R64" s="578"/>
      <c r="S64" s="677"/>
      <c r="T64" s="1192"/>
    </row>
    <row r="65" spans="4:30" ht="19.5" thickBot="1" x14ac:dyDescent="0.35">
      <c r="J65" s="1193" t="s">
        <v>1134</v>
      </c>
      <c r="K65" s="6"/>
      <c r="L65" s="690"/>
      <c r="M65" s="690"/>
      <c r="N65" s="6"/>
      <c r="O65" s="589">
        <f>N65</f>
        <v>0</v>
      </c>
      <c r="P65" s="690"/>
      <c r="Q65" s="6"/>
      <c r="R65" s="526"/>
      <c r="S65" s="1779" t="e">
        <f>N19</f>
        <v>#N/A</v>
      </c>
      <c r="T65" s="1780"/>
    </row>
    <row r="66" spans="4:30" ht="15.75" x14ac:dyDescent="0.25">
      <c r="J66" s="17" t="s">
        <v>357</v>
      </c>
      <c r="K66" s="1256"/>
      <c r="L66" s="18"/>
      <c r="M66" s="18"/>
      <c r="N66" s="9"/>
      <c r="O66" s="881">
        <f>N65-N66-10</f>
        <v>-10</v>
      </c>
      <c r="P66" s="18"/>
      <c r="Q66" s="9"/>
      <c r="R66" s="570"/>
      <c r="S66" s="26"/>
      <c r="T66" s="399"/>
    </row>
    <row r="67" spans="4:30" ht="15.75" x14ac:dyDescent="0.25">
      <c r="J67" s="1153" t="s">
        <v>358</v>
      </c>
      <c r="K67" s="1194">
        <f>K66+K71+5</f>
        <v>5</v>
      </c>
      <c r="L67" s="327"/>
      <c r="M67" s="327"/>
      <c r="N67" s="1195">
        <f>N66</f>
        <v>0</v>
      </c>
      <c r="O67" s="1195">
        <f>O66</f>
        <v>-10</v>
      </c>
      <c r="P67" s="327"/>
      <c r="Q67" s="1194">
        <f>Q66+Q71+5</f>
        <v>5</v>
      </c>
      <c r="R67" s="1196"/>
      <c r="S67" s="25"/>
    </row>
    <row r="68" spans="4:30" ht="16.5" thickBot="1" x14ac:dyDescent="0.3">
      <c r="J68" s="1156" t="s">
        <v>359</v>
      </c>
      <c r="K68" s="1197">
        <f>IF(K33=0,0, K66+5+IF(K38=0,K72,K73))</f>
        <v>0</v>
      </c>
      <c r="L68" s="333"/>
      <c r="M68" s="333"/>
      <c r="N68" s="1198">
        <f>N66</f>
        <v>0</v>
      </c>
      <c r="O68" s="1198">
        <f>O66</f>
        <v>-10</v>
      </c>
      <c r="P68" s="333"/>
      <c r="Q68" s="1197">
        <f>IF(Q33=0,0, Q66+5+IF(Q38=0,Q72,Q73))</f>
        <v>0</v>
      </c>
      <c r="R68" s="1199"/>
      <c r="T68" s="399"/>
      <c r="V68" s="275"/>
      <c r="X68" s="14"/>
      <c r="AA68" s="14"/>
      <c r="AD68" s="14"/>
    </row>
    <row r="69" spans="4:30" ht="15.75" x14ac:dyDescent="0.25">
      <c r="G69" s="1782" t="s">
        <v>1137</v>
      </c>
      <c r="H69" s="1783"/>
      <c r="J69" s="1153" t="s">
        <v>360</v>
      </c>
      <c r="K69" s="1200"/>
      <c r="L69" s="327"/>
      <c r="M69" s="327"/>
      <c r="N69" s="1195">
        <f>N66</f>
        <v>0</v>
      </c>
      <c r="O69" s="1195">
        <f>O66</f>
        <v>-10</v>
      </c>
      <c r="P69" s="327"/>
      <c r="Q69" s="1201"/>
      <c r="R69" s="1196"/>
      <c r="X69" s="14"/>
      <c r="AA69" s="14"/>
      <c r="AD69" s="14"/>
    </row>
    <row r="70" spans="4:30" ht="16.5" thickBot="1" x14ac:dyDescent="0.3">
      <c r="D70" s="18"/>
      <c r="G70" s="1784" t="s">
        <v>116</v>
      </c>
      <c r="H70" s="1785"/>
      <c r="J70" s="1156" t="s">
        <v>361</v>
      </c>
      <c r="K70" s="1202"/>
      <c r="L70" s="333"/>
      <c r="M70" s="333"/>
      <c r="N70" s="1203"/>
      <c r="O70" s="1203"/>
      <c r="P70" s="333"/>
      <c r="Q70" s="1204"/>
      <c r="R70" s="1199"/>
      <c r="X70" s="14"/>
      <c r="AA70" s="14"/>
      <c r="AD70" s="14"/>
    </row>
    <row r="71" spans="4:30" ht="15.75" x14ac:dyDescent="0.25">
      <c r="J71" s="1153" t="s">
        <v>362</v>
      </c>
      <c r="K71" s="1257"/>
      <c r="L71" s="327"/>
      <c r="M71" s="327"/>
      <c r="N71" s="1206"/>
      <c r="O71" s="1206"/>
      <c r="P71" s="327"/>
      <c r="Q71" s="1257"/>
      <c r="R71" s="1196"/>
      <c r="U71" s="399"/>
      <c r="X71" s="14"/>
      <c r="AA71" s="14"/>
      <c r="AD71" s="14"/>
    </row>
    <row r="72" spans="4:30" ht="15.75" x14ac:dyDescent="0.25">
      <c r="J72" s="1156" t="s">
        <v>363</v>
      </c>
      <c r="K72" s="1197">
        <f>IF(K38=0,K65-5-K66-5-K71-5,K65-K66-10)</f>
        <v>-15</v>
      </c>
      <c r="L72" s="1177"/>
      <c r="M72" s="1177"/>
      <c r="N72" s="1207"/>
      <c r="O72" s="1202"/>
      <c r="P72" s="1177"/>
      <c r="Q72" s="1197">
        <f>IF(Q38=0,Q65-5-Q66-5-Q71-5,Q73+5+Q71)</f>
        <v>-15</v>
      </c>
      <c r="R72" s="1199"/>
      <c r="T72" s="399"/>
    </row>
    <row r="73" spans="4:30" ht="16.5" thickBot="1" x14ac:dyDescent="0.3">
      <c r="J73" s="17" t="s">
        <v>364</v>
      </c>
      <c r="K73" s="881">
        <f>IF(K38=0,0,K65-K67-10)</f>
        <v>0</v>
      </c>
      <c r="L73" s="18"/>
      <c r="M73" s="18"/>
      <c r="N73" s="1208"/>
      <c r="O73" s="659"/>
      <c r="P73" s="18"/>
      <c r="Q73" s="881">
        <f>IF(Q38=0,0,Q65-Q67-10)</f>
        <v>0</v>
      </c>
      <c r="R73" s="570"/>
    </row>
    <row r="74" spans="4:30" ht="15.75" x14ac:dyDescent="0.25">
      <c r="G74" s="275"/>
      <c r="J74" s="1209" t="s">
        <v>357</v>
      </c>
      <c r="K74" s="1210" t="e">
        <f>K66*$E$14+(1-$E$14)*(K75-5-K79)</f>
        <v>#DIV/0!</v>
      </c>
      <c r="L74" s="1210"/>
      <c r="M74" s="1210"/>
      <c r="N74" s="1210" t="e">
        <f>E14*N66+(1-E14)*(N65-10)*MAX(N52,N53,N54,N55)/N61</f>
        <v>#DIV/0!</v>
      </c>
      <c r="O74" s="1210" t="e">
        <f>N65-10-N74</f>
        <v>#DIV/0!</v>
      </c>
      <c r="P74" s="1210"/>
      <c r="Q74" s="1210" t="e">
        <f>Q66*$E$14+(1-$E$14)*(Q75-5-Q79)</f>
        <v>#DIV/0!</v>
      </c>
      <c r="R74" s="828"/>
      <c r="T74" s="399"/>
    </row>
    <row r="75" spans="4:30" ht="15.75" x14ac:dyDescent="0.25">
      <c r="J75" s="1211" t="s">
        <v>358</v>
      </c>
      <c r="K75" s="1108" t="e">
        <f>$E14*K67+(1-$E$14)*IF(K53&gt;K52+K57,K53/K61*(K65-15),(K52+K57)/K61*(K65-15)+5)</f>
        <v>#DIV/0!</v>
      </c>
      <c r="L75" s="1212"/>
      <c r="M75" s="1212"/>
      <c r="N75" s="1108" t="e">
        <f>N74</f>
        <v>#DIV/0!</v>
      </c>
      <c r="O75" s="1108" t="e">
        <f>O74</f>
        <v>#DIV/0!</v>
      </c>
      <c r="P75" s="1212"/>
      <c r="Q75" s="1108" t="e">
        <f>$E14*Q67+(1-$E$14)*IF(Q53&gt;Q52+Q57,Q53/Q61*(Q65-15),5+(Q52+Q57)/Q61*(Q65-15))</f>
        <v>#DIV/0!</v>
      </c>
      <c r="R75" s="833"/>
    </row>
    <row r="76" spans="4:30" ht="16.5" thickBot="1" x14ac:dyDescent="0.3">
      <c r="D76" s="18" t="s">
        <v>347</v>
      </c>
      <c r="J76" s="1213" t="s">
        <v>359</v>
      </c>
      <c r="K76" s="1214">
        <f>$E$14*K68+IF(K33=0,0,(1-$E$14)*(K74+IF(K38=0,K80,K81)+5))</f>
        <v>0</v>
      </c>
      <c r="L76" s="1215"/>
      <c r="M76" s="1215"/>
      <c r="N76" s="1214" t="e">
        <f>N74</f>
        <v>#DIV/0!</v>
      </c>
      <c r="O76" s="1214" t="e">
        <f>O74</f>
        <v>#DIV/0!</v>
      </c>
      <c r="P76" s="1215"/>
      <c r="Q76" s="1214">
        <f>$E$14*Q68+IF(Q33=0,0,(1-$E$14)*(Q74+IF(Q38=0,Q80,Q81)+5))</f>
        <v>0</v>
      </c>
      <c r="R76" s="1216"/>
      <c r="T76" s="399"/>
    </row>
    <row r="77" spans="4:30" ht="16.5" thickBot="1" x14ac:dyDescent="0.3">
      <c r="D77" s="18" t="s">
        <v>349</v>
      </c>
      <c r="F77" s="1790" t="s">
        <v>365</v>
      </c>
      <c r="G77" s="1791"/>
      <c r="J77" s="1217" t="s">
        <v>360</v>
      </c>
      <c r="K77" s="1218">
        <v>0</v>
      </c>
      <c r="L77" s="1219"/>
      <c r="M77" s="1219"/>
      <c r="N77" s="1220" t="e">
        <f>N74</f>
        <v>#DIV/0!</v>
      </c>
      <c r="O77" s="1220" t="e">
        <f>O74</f>
        <v>#DIV/0!</v>
      </c>
      <c r="P77" s="1219"/>
      <c r="Q77" s="1218">
        <v>0</v>
      </c>
      <c r="R77" s="1221"/>
    </row>
    <row r="78" spans="4:30" ht="15.75" x14ac:dyDescent="0.25">
      <c r="J78" s="1211" t="s">
        <v>361</v>
      </c>
      <c r="K78" s="1222">
        <v>0</v>
      </c>
      <c r="L78" s="1223"/>
      <c r="M78" s="1223"/>
      <c r="N78" s="1224"/>
      <c r="O78" s="1224"/>
      <c r="P78" s="1223"/>
      <c r="Q78" s="1222">
        <v>0</v>
      </c>
      <c r="R78" s="833"/>
    </row>
    <row r="79" spans="4:30" ht="15.75" x14ac:dyDescent="0.25">
      <c r="J79" s="1217" t="s">
        <v>362</v>
      </c>
      <c r="K79" s="1225" t="e">
        <f>(K57/K61*(K65-15))*(1-$E$14)+$E$14*K71</f>
        <v>#DIV/0!</v>
      </c>
      <c r="L79" s="1226"/>
      <c r="M79" s="1226"/>
      <c r="N79" s="1227"/>
      <c r="O79" s="1228"/>
      <c r="P79" s="1226"/>
      <c r="Q79" s="1225" t="e">
        <f>(Q57/Q61*(Q65-15))*(1-$E$14)+$E$14*Q71</f>
        <v>#DIV/0!</v>
      </c>
      <c r="R79" s="1221"/>
    </row>
    <row r="80" spans="4:30" ht="15.75" x14ac:dyDescent="0.25">
      <c r="J80" s="1211" t="s">
        <v>363</v>
      </c>
      <c r="K80" s="1108" t="e">
        <f>$E$14*K72+(1-$E$14)*IF(K38=0,K65-10-K75,K81+5+K79)</f>
        <v>#DIV/0!</v>
      </c>
      <c r="L80" s="1108"/>
      <c r="M80" s="1223"/>
      <c r="N80" s="1229"/>
      <c r="O80" s="1229"/>
      <c r="P80" s="1230"/>
      <c r="Q80" s="1108" t="e">
        <f>$E$14*Q72+(1-$E$14)*IF(Q38=0,Q65-10-Q75,Q81+5+Q79)</f>
        <v>#DIV/0!</v>
      </c>
      <c r="R80" s="1231"/>
    </row>
    <row r="81" spans="4:21" ht="16.5" thickBot="1" x14ac:dyDescent="0.3">
      <c r="J81" s="1232" t="s">
        <v>364</v>
      </c>
      <c r="K81" s="1108">
        <f>$E$14*K73+(1-$E$14)*IF(K38=0,0,K65-K74-K79-15)</f>
        <v>0</v>
      </c>
      <c r="L81" s="1223"/>
      <c r="M81" s="1223"/>
      <c r="N81" s="1224"/>
      <c r="O81" s="1224"/>
      <c r="P81" s="1223"/>
      <c r="Q81" s="1108">
        <f>$E$14*Q73+(1-$E$14)*IF(Q38=0,0,Q65-Q74-Q79-15)</f>
        <v>0</v>
      </c>
      <c r="R81" s="833"/>
      <c r="U81" s="399"/>
    </row>
    <row r="82" spans="4:21" x14ac:dyDescent="0.25">
      <c r="J82" s="17" t="s">
        <v>366</v>
      </c>
      <c r="K82" s="712" t="e">
        <f>K52/(K74/$K$65)</f>
        <v>#DIV/0!</v>
      </c>
      <c r="L82" s="658"/>
      <c r="M82" s="658"/>
      <c r="N82" s="886" t="e">
        <f>N52/(N74/$N$65)</f>
        <v>#DIV/0!</v>
      </c>
      <c r="O82" s="886" t="e">
        <f t="shared" ref="N82:O85" si="5">O52/(O74/$N$65)</f>
        <v>#DIV/0!</v>
      </c>
      <c r="P82" s="658"/>
      <c r="Q82" s="712" t="e">
        <f>Q52/(Q74/$Q$65)</f>
        <v>#DIV/0!</v>
      </c>
      <c r="R82" s="561"/>
    </row>
    <row r="83" spans="4:21" x14ac:dyDescent="0.25">
      <c r="J83" s="1153" t="s">
        <v>367</v>
      </c>
      <c r="K83" s="1181" t="e">
        <f>K53/(K75/$K$65)</f>
        <v>#DIV/0!</v>
      </c>
      <c r="L83" s="328"/>
      <c r="M83" s="328"/>
      <c r="N83" s="1233" t="e">
        <f>N53/(N75/$N$65)</f>
        <v>#DIV/0!</v>
      </c>
      <c r="O83" s="1233" t="e">
        <f t="shared" si="5"/>
        <v>#DIV/0!</v>
      </c>
      <c r="P83" s="328"/>
      <c r="Q83" s="1181" t="e">
        <f>Q53/(Q75/$Q$65)</f>
        <v>#DIV/0!</v>
      </c>
      <c r="R83" s="1196"/>
      <c r="T83" s="399"/>
    </row>
    <row r="84" spans="4:21" x14ac:dyDescent="0.25">
      <c r="D84" s="18"/>
      <c r="J84" s="1156" t="s">
        <v>368</v>
      </c>
      <c r="K84" s="1175">
        <f>IF(K33=0,0,K54/(K76/$K$65))</f>
        <v>0</v>
      </c>
      <c r="L84" s="1177"/>
      <c r="M84" s="1177"/>
      <c r="N84" s="1234" t="e">
        <f>N54/(N76/$N$65)</f>
        <v>#DIV/0!</v>
      </c>
      <c r="O84" s="1234" t="e">
        <f t="shared" si="5"/>
        <v>#DIV/0!</v>
      </c>
      <c r="P84" s="1177"/>
      <c r="Q84" s="1175">
        <f>IF(Q33=0,0,Q54/(Q76/$Q$65))</f>
        <v>0</v>
      </c>
      <c r="R84" s="1199"/>
    </row>
    <row r="85" spans="4:21" x14ac:dyDescent="0.25">
      <c r="J85" s="1153" t="s">
        <v>369</v>
      </c>
      <c r="K85" s="1179"/>
      <c r="L85" s="328"/>
      <c r="M85" s="328"/>
      <c r="N85" s="1233" t="e">
        <f t="shared" si="5"/>
        <v>#DIV/0!</v>
      </c>
      <c r="O85" s="1233" t="e">
        <f t="shared" si="5"/>
        <v>#DIV/0!</v>
      </c>
      <c r="P85" s="328"/>
      <c r="Q85" s="1179"/>
      <c r="R85" s="1196"/>
    </row>
    <row r="86" spans="4:21" x14ac:dyDescent="0.25">
      <c r="J86" s="1156" t="s">
        <v>370</v>
      </c>
      <c r="K86" s="1235"/>
      <c r="L86" s="1177"/>
      <c r="M86" s="1177"/>
      <c r="N86" s="1236"/>
      <c r="O86" s="1202"/>
      <c r="P86" s="1177"/>
      <c r="Q86" s="1235"/>
      <c r="R86" s="1199"/>
    </row>
    <row r="87" spans="4:21" x14ac:dyDescent="0.25">
      <c r="J87" s="1153" t="s">
        <v>371</v>
      </c>
      <c r="K87" s="1181" t="e">
        <f>K57/(K79/$K$65)</f>
        <v>#DIV/0!</v>
      </c>
      <c r="L87" s="328"/>
      <c r="M87" s="328"/>
      <c r="N87" s="1237"/>
      <c r="O87" s="1200"/>
      <c r="P87" s="328"/>
      <c r="Q87" s="1181" t="e">
        <f>Q57/(Q79/$Q$65)</f>
        <v>#DIV/0!</v>
      </c>
      <c r="R87" s="1196"/>
    </row>
    <row r="88" spans="4:21" x14ac:dyDescent="0.25">
      <c r="J88" s="1156" t="s">
        <v>372</v>
      </c>
      <c r="K88" s="309" t="e">
        <f>K58/(K80/$K$65)</f>
        <v>#DIV/0!</v>
      </c>
      <c r="L88" s="18"/>
      <c r="M88" s="18"/>
      <c r="N88" s="1238"/>
      <c r="O88" s="659"/>
      <c r="P88" s="18"/>
      <c r="Q88" s="309" t="e">
        <f>Q58/(Q80/$Q$65)</f>
        <v>#DIV/0!</v>
      </c>
      <c r="R88" s="570"/>
    </row>
    <row r="89" spans="4:21" ht="15.75" thickBot="1" x14ac:dyDescent="0.3">
      <c r="J89" s="17" t="s">
        <v>373</v>
      </c>
      <c r="K89" s="309">
        <f>IF(K38=0,0,K59/(K81/$K$65))</f>
        <v>0</v>
      </c>
      <c r="L89" s="18"/>
      <c r="M89" s="18"/>
      <c r="N89" s="1238"/>
      <c r="O89" s="659"/>
      <c r="P89" s="18"/>
      <c r="Q89" s="309">
        <f>IF(Q38=0,0,Q59/(Q81/$Q$65))</f>
        <v>0</v>
      </c>
      <c r="R89" s="570"/>
      <c r="T89" s="275"/>
    </row>
    <row r="90" spans="4:21" x14ac:dyDescent="0.25">
      <c r="J90" s="560" t="s">
        <v>374</v>
      </c>
      <c r="K90" s="712">
        <v>1</v>
      </c>
      <c r="L90" s="658"/>
      <c r="M90" s="658"/>
      <c r="N90" s="712" t="e">
        <f>MAX(0,(1-VLOOKUP($E$15,$E$96:$F$101,2,FALSE)*N74/$N$65)/(1-N74/$N$65))</f>
        <v>#N/A</v>
      </c>
      <c r="O90" s="886">
        <v>1</v>
      </c>
      <c r="P90" s="658"/>
      <c r="Q90" s="712" t="e">
        <f>MAX(0,(1-VLOOKUP($E$15,$E$96:$F$101,2,FALSE)*Q74/$Q$65)/(1-Q74/$Q$65))</f>
        <v>#N/A</v>
      </c>
      <c r="R90" s="561"/>
    </row>
    <row r="91" spans="4:21" x14ac:dyDescent="0.25">
      <c r="J91" s="17" t="s">
        <v>375</v>
      </c>
      <c r="K91" s="309" t="e">
        <f>MAX(0,(1-VLOOKUP($E$15,$E$96:$F$101,2,FALSE)*K75/$K$65)/(1-K75/$K$65))</f>
        <v>#N/A</v>
      </c>
      <c r="L91" s="18"/>
      <c r="M91" s="18"/>
      <c r="N91" s="1233">
        <v>1</v>
      </c>
      <c r="O91" s="1181" t="e">
        <f>MAX(0,(1-VLOOKUP($E$15,$E$96:$F$101,2,FALSE)*O75/$O$65)/(1-O75/$O$65))</f>
        <v>#N/A</v>
      </c>
      <c r="P91" s="18"/>
      <c r="Q91" s="309">
        <v>1</v>
      </c>
      <c r="R91" s="570"/>
    </row>
    <row r="92" spans="4:21" x14ac:dyDescent="0.25">
      <c r="J92" s="1156" t="s">
        <v>376</v>
      </c>
      <c r="K92" s="1175">
        <v>1</v>
      </c>
      <c r="L92" s="1177"/>
      <c r="M92" s="1177"/>
      <c r="N92" s="309" t="e">
        <f>MAX(0,(1-VLOOKUP($E$15,$E$96:$F$101,2,FALSE)*N76/$N$65)/(1-N76/$N$65))</f>
        <v>#N/A</v>
      </c>
      <c r="O92" s="1234">
        <v>1</v>
      </c>
      <c r="P92" s="1177"/>
      <c r="Q92" s="1175" t="e">
        <f>MAX(0,(1-VLOOKUP($E$15,$E$96:$F$101,2,FALSE)*Q76/$Q$65)/(1-Q76/$Q$65))</f>
        <v>#N/A</v>
      </c>
      <c r="R92" s="1199"/>
    </row>
    <row r="93" spans="4:21" x14ac:dyDescent="0.25">
      <c r="J93" s="1153" t="s">
        <v>377</v>
      </c>
      <c r="K93" s="1179"/>
      <c r="L93" s="328"/>
      <c r="M93" s="328"/>
      <c r="N93" s="1233">
        <v>1</v>
      </c>
      <c r="O93" s="1181" t="e">
        <f>MAX(0,(1-VLOOKUP($E$15,$E$96:$F$101,2,FALSE)*O77/$O$65)/(1-O77/$O$65))</f>
        <v>#N/A</v>
      </c>
      <c r="P93" s="328"/>
      <c r="Q93" s="1179"/>
      <c r="R93" s="1196"/>
    </row>
    <row r="94" spans="4:21" ht="15.75" thickBot="1" x14ac:dyDescent="0.3">
      <c r="J94" s="1156" t="s">
        <v>378</v>
      </c>
      <c r="K94" s="1235"/>
      <c r="L94" s="1177"/>
      <c r="M94" s="1177"/>
      <c r="N94" s="1236"/>
      <c r="O94" s="1202"/>
      <c r="P94" s="1177"/>
      <c r="Q94" s="1235"/>
      <c r="R94" s="1199"/>
    </row>
    <row r="95" spans="4:21" x14ac:dyDescent="0.25">
      <c r="E95" s="315" t="s">
        <v>946</v>
      </c>
      <c r="F95" s="316" t="s">
        <v>948</v>
      </c>
      <c r="J95" s="1153" t="s">
        <v>379</v>
      </c>
      <c r="K95" s="1181" t="e">
        <f>MAX(0,(1-VLOOKUP($E$15,$E$96:$F$101,2,FALSE)*K79/$K$65)/(1-K79/$K$65))</f>
        <v>#N/A</v>
      </c>
      <c r="L95" s="328"/>
      <c r="M95" s="328"/>
      <c r="N95" s="1237"/>
      <c r="O95" s="1200"/>
      <c r="P95" s="328"/>
      <c r="Q95" s="1181">
        <v>1</v>
      </c>
      <c r="R95" s="1196"/>
    </row>
    <row r="96" spans="4:21" x14ac:dyDescent="0.25">
      <c r="E96" s="317">
        <v>1</v>
      </c>
      <c r="F96" s="318">
        <v>0.33</v>
      </c>
      <c r="J96" s="1156" t="s">
        <v>380</v>
      </c>
      <c r="K96" s="309">
        <v>1</v>
      </c>
      <c r="L96" s="18"/>
      <c r="M96" s="18"/>
      <c r="N96" s="1238"/>
      <c r="O96" s="659"/>
      <c r="P96" s="18"/>
      <c r="Q96" s="309">
        <v>1</v>
      </c>
      <c r="R96" s="570"/>
    </row>
    <row r="97" spans="5:22" ht="15.75" thickBot="1" x14ac:dyDescent="0.3">
      <c r="E97" s="317">
        <v>2</v>
      </c>
      <c r="F97" s="318">
        <v>0.67</v>
      </c>
      <c r="J97" s="19" t="s">
        <v>381</v>
      </c>
      <c r="K97" s="717">
        <v>1</v>
      </c>
      <c r="L97" s="663"/>
      <c r="M97" s="663"/>
      <c r="N97" s="1239"/>
      <c r="O97" s="805"/>
      <c r="P97" s="663"/>
      <c r="Q97" s="717">
        <v>1</v>
      </c>
      <c r="R97" s="666"/>
    </row>
    <row r="98" spans="5:22" ht="19.5" thickBot="1" x14ac:dyDescent="0.35">
      <c r="E98" s="317">
        <v>3</v>
      </c>
      <c r="F98" s="318">
        <v>1</v>
      </c>
      <c r="J98" s="1240"/>
      <c r="K98" s="1241"/>
      <c r="L98" s="1242" t="s">
        <v>124</v>
      </c>
      <c r="M98" s="1242"/>
      <c r="N98" s="1243"/>
      <c r="O98" s="1242"/>
      <c r="P98" s="1242"/>
      <c r="Q98" s="1241"/>
      <c r="R98" s="1244"/>
      <c r="S98" s="1664"/>
      <c r="T98" s="1664"/>
      <c r="U98" s="1664"/>
    </row>
    <row r="99" spans="5:22" ht="16.5" thickBot="1" x14ac:dyDescent="0.3">
      <c r="E99" s="317">
        <v>4</v>
      </c>
      <c r="F99" s="318">
        <v>1.33</v>
      </c>
      <c r="J99" s="461"/>
      <c r="K99" s="1786" t="s">
        <v>326</v>
      </c>
      <c r="L99" s="1786"/>
      <c r="M99" s="227" t="s">
        <v>338</v>
      </c>
      <c r="N99" s="424" t="s">
        <v>339</v>
      </c>
      <c r="O99" s="424" t="s">
        <v>340</v>
      </c>
      <c r="P99" s="1024"/>
      <c r="Q99" s="1245" t="str">
        <f>Q28</f>
        <v>QRI LEG ON 4-8</v>
      </c>
      <c r="R99" s="526"/>
    </row>
    <row r="100" spans="5:22" x14ac:dyDescent="0.25">
      <c r="E100" s="317">
        <v>5</v>
      </c>
      <c r="F100" s="318">
        <v>1.67</v>
      </c>
      <c r="J100" s="17" t="s">
        <v>382</v>
      </c>
      <c r="K100" s="308" t="e">
        <f>K90*0.5*$K$65*(1-K74/$K$65)^2/(1-MIN(1,K82)*K74/K65)+225*(K82-1+SQRT((K82-1)^2+16*K82/(K40/K82)))</f>
        <v>#DIV/0!</v>
      </c>
      <c r="L100" s="308"/>
      <c r="M100" s="308"/>
      <c r="N100" s="308" t="e">
        <f>N90*0.5*N65*(1-N74/N65)^2/(1-N52)+225*(N82-1+SQRT((N82-1)^2+16*N82/(N40/N82)))</f>
        <v>#N/A</v>
      </c>
      <c r="O100" s="308" t="e">
        <f>O90*0.5*O65*(1-O74/O65)^2/(1-O52)+225*(O82-1+SQRT((O82-1)^2+16*O82/(O40/O82)))</f>
        <v>#DIV/0!</v>
      </c>
      <c r="P100" s="308"/>
      <c r="Q100" s="308" t="e">
        <f>Q90*0.5*$K$65*(1-Q74/$K$65)^2/(1-MIN(1,Q82)*Q74/Q65)+225*(Q82-1+SQRT((Q82-1)^2+16*Q82/(Q40/Q82)))</f>
        <v>#N/A</v>
      </c>
      <c r="R100" s="570"/>
      <c r="S100" s="18"/>
      <c r="T100" s="308"/>
      <c r="U100" s="18"/>
      <c r="V100" s="18"/>
    </row>
    <row r="101" spans="5:22" ht="15.75" thickBot="1" x14ac:dyDescent="0.3">
      <c r="E101" s="330">
        <v>6</v>
      </c>
      <c r="F101" s="331">
        <v>2</v>
      </c>
      <c r="J101" s="17" t="s">
        <v>383</v>
      </c>
      <c r="K101" s="308" t="e">
        <f>K91*0.5*$K$65*(1-K75/$K$65)^2/(1-MIN(1,K83)*K75/K65)+225*(K83-1+SQRT((K83-1)^2+16*K83/(K41/K83)))</f>
        <v>#N/A</v>
      </c>
      <c r="L101" s="308"/>
      <c r="M101" s="308"/>
      <c r="N101" s="308" t="e">
        <f>N91*0.5*N65*(1-N75/N65)^2/(1-N53)+225*(N83-1+SQRT((N83-1)^2+16*N83/(N41/N83)))</f>
        <v>#DIV/0!</v>
      </c>
      <c r="O101" s="308" t="e">
        <f>O91*0.5*O65*(1-O75/O65)^2/(1-O53)+225*(O83-1+SQRT((O83-1)^2+16*O83/(O41/O83)))</f>
        <v>#N/A</v>
      </c>
      <c r="P101" s="308"/>
      <c r="Q101" s="308" t="e">
        <f>Q91*0.5*$K$65*(1-Q75/$K$65)^2/(1-MIN(1,Q83)*Q75/Q65)+225*(Q83-1+SQRT((Q83-1)^2+16*Q83/(Q41/Q83)))</f>
        <v>#DIV/0!</v>
      </c>
      <c r="R101" s="570"/>
      <c r="S101" s="18"/>
      <c r="T101" s="308"/>
      <c r="U101" s="18"/>
      <c r="V101" s="18"/>
    </row>
    <row r="102" spans="5:22" x14ac:dyDescent="0.25">
      <c r="J102" s="1156" t="s">
        <v>384</v>
      </c>
      <c r="K102" s="1246">
        <f>IF(K33=0,0,K92*0.5*$K$65*(1-K76/$K$65)^2/(1-MIN(1,K84)*K76/K65)+225*(K84-1+SQRT((K84-1)^2+16*K84/(K42/K84))))</f>
        <v>0</v>
      </c>
      <c r="L102" s="1246"/>
      <c r="M102" s="1246"/>
      <c r="N102" s="1246">
        <f>IF(N33=0,0,0.5*N92*N65*(1-N76/N65)^2/(1-N54)+225*(N84-1+SQRT((N84-1)^2+16*N84/(N42/N84))))</f>
        <v>0</v>
      </c>
      <c r="O102" s="1246">
        <f>IF(O42=0,0,0.5*O92*O65*(1-O76/O65)^2/(1-O54)+225*(O84-1+SQRT((O84-1)^2+16*O84/(O42/O84))))</f>
        <v>0</v>
      </c>
      <c r="P102" s="1246"/>
      <c r="Q102" s="1246">
        <f>IF(Q33=0,0,Q92*0.5*$K$65*(1-Q76/$K$65)^2/(1-MIN(1,Q84)*Q76/Q65)+225*(Q84-1+SQRT((Q84-1)^2+16*Q84/(Q42/Q84))))</f>
        <v>0</v>
      </c>
      <c r="R102" s="1199"/>
      <c r="S102" s="18"/>
      <c r="T102" s="308"/>
      <c r="U102" s="18"/>
      <c r="V102" s="18"/>
    </row>
    <row r="103" spans="5:22" x14ac:dyDescent="0.25">
      <c r="J103" s="1153" t="s">
        <v>385</v>
      </c>
      <c r="K103" s="1247"/>
      <c r="L103" s="1248"/>
      <c r="M103" s="1248"/>
      <c r="N103" s="1248">
        <f>IF(N43=0,0,0.5*N93*N65*(1-N77/N65)^2/(1-N55)+225*(N85-1+SQRT((N85-1)^2+16*N85/(N43/N85))))</f>
        <v>0</v>
      </c>
      <c r="O103" s="1248">
        <f>IF(O43=0,0,0.5*O93*O65*(1-O77/O65)^2/(1-O55)+225*(O85-1+SQRT((O85-1)^2+16*O85/(O43/O85))))</f>
        <v>0</v>
      </c>
      <c r="P103" s="1248"/>
      <c r="Q103" s="1247"/>
      <c r="R103" s="1196"/>
      <c r="S103" s="18"/>
      <c r="T103" s="308"/>
      <c r="U103" s="18"/>
      <c r="V103" s="18"/>
    </row>
    <row r="104" spans="5:22" x14ac:dyDescent="0.25">
      <c r="J104" s="1156" t="s">
        <v>386</v>
      </c>
      <c r="K104" s="1249"/>
      <c r="L104" s="1246"/>
      <c r="M104" s="1246"/>
      <c r="N104" s="1249"/>
      <c r="O104" s="1249"/>
      <c r="P104" s="1246"/>
      <c r="Q104" s="1249"/>
      <c r="R104" s="1199"/>
      <c r="S104" s="18"/>
      <c r="T104" s="308"/>
      <c r="U104" s="18"/>
      <c r="V104" s="18"/>
    </row>
    <row r="105" spans="5:22" x14ac:dyDescent="0.25">
      <c r="J105" s="1153" t="s">
        <v>387</v>
      </c>
      <c r="K105" s="1248" t="e">
        <f>K95*0.5*$K$65*(1-K79/$K$65)^2/(1-MIN(1,K87)*K79/K65)+225*(K87-1+SQRT((K87-1)^2+16*K87/(K45/K87)))</f>
        <v>#N/A</v>
      </c>
      <c r="L105" s="1248"/>
      <c r="M105" s="1248"/>
      <c r="N105" s="1247"/>
      <c r="O105" s="1247"/>
      <c r="P105" s="1248"/>
      <c r="Q105" s="1248" t="e">
        <f>Q95*0.5*$K$65*(1-Q79/$K$65)^2/(1-MIN(1,Q87)*Q79/Q65)+225*(Q87-1+SQRT((Q87-1)^2+16*Q87/(Q45/Q87)))</f>
        <v>#DIV/0!</v>
      </c>
      <c r="R105" s="1196"/>
      <c r="S105" s="18"/>
      <c r="T105" s="308"/>
      <c r="U105" s="18"/>
      <c r="V105" s="18"/>
    </row>
    <row r="106" spans="5:22" x14ac:dyDescent="0.25">
      <c r="J106" s="1156" t="s">
        <v>388</v>
      </c>
      <c r="K106" s="1246" t="e">
        <f>K96*0.5*$K$65*(1-K80/$K$65)^2/(1-MIN(1,K88)*K80/K65)+225*(K88-1+SQRT((K88-1)^2+16*K88/(K46/K88)))</f>
        <v>#DIV/0!</v>
      </c>
      <c r="L106" s="1246"/>
      <c r="M106" s="1246"/>
      <c r="N106" s="1249"/>
      <c r="O106" s="1249"/>
      <c r="P106" s="1246"/>
      <c r="Q106" s="1246" t="e">
        <f>Q96*0.5*$K$65*(1-Q80/$K$65)^2/(1-MIN(1,Q88)*Q80/Q65)+225*(Q88-1+SQRT((Q88-1)^2+16*Q88/(Q46/Q88)))</f>
        <v>#DIV/0!</v>
      </c>
      <c r="R106" s="1199"/>
      <c r="S106" s="18"/>
      <c r="T106" s="308"/>
      <c r="U106" s="18"/>
      <c r="V106" s="18"/>
    </row>
    <row r="107" spans="5:22" ht="15.75" thickBot="1" x14ac:dyDescent="0.3">
      <c r="J107" s="19" t="s">
        <v>389</v>
      </c>
      <c r="K107" s="718">
        <f>IF(K38=0,0,K97*0.5*$K$65*(1-K81/$K$65)^2/(1-MIN(1,K89)*K81/K65)+225*(K89-1+SQRT((K89-1)^2+16*K89/(K47/K89))))</f>
        <v>0</v>
      </c>
      <c r="L107" s="718"/>
      <c r="M107" s="718"/>
      <c r="N107" s="800"/>
      <c r="O107" s="800"/>
      <c r="P107" s="718"/>
      <c r="Q107" s="718">
        <f>IF(Q38=0,0,Q97*0.5*$K$65*(1-Q81/$K$65)^2/(1-MIN(1,Q89)*Q81/Q65)+225*(Q89-1+SQRT((Q89-1)^2+16*Q89/(Q47/Q89))))</f>
        <v>0</v>
      </c>
      <c r="R107" s="666"/>
      <c r="S107" s="18"/>
      <c r="T107" s="308"/>
      <c r="U107" s="18"/>
      <c r="V107" s="18"/>
    </row>
    <row r="108" spans="5:22" ht="15.75" thickBot="1" x14ac:dyDescent="0.3">
      <c r="J108" s="19"/>
      <c r="K108" s="718"/>
      <c r="L108" s="718"/>
      <c r="M108" s="718"/>
      <c r="N108" s="800"/>
      <c r="O108" s="800"/>
      <c r="P108" s="718"/>
      <c r="Q108" s="718"/>
      <c r="R108" s="666"/>
      <c r="S108" s="18"/>
      <c r="T108" s="18"/>
      <c r="U108" s="18"/>
      <c r="V108" s="18"/>
    </row>
    <row r="109" spans="5:22" ht="19.5" thickBot="1" x14ac:dyDescent="0.35">
      <c r="J109" s="1250" t="s">
        <v>138</v>
      </c>
      <c r="K109" s="1251" t="e">
        <f>SUMPRODUCT(K100:K107,K40:K47)/SUM(K40:K47)</f>
        <v>#DIV/0!</v>
      </c>
      <c r="L109" s="1252"/>
      <c r="M109" s="1252"/>
      <c r="N109" s="1787" t="e">
        <f>SUMPRODUCT(N100:O103,N40:O43)/SUM(N40:O43)</f>
        <v>#N/A</v>
      </c>
      <c r="O109" s="1788"/>
      <c r="P109" s="1252"/>
      <c r="Q109" s="1251" t="e">
        <f>SUMPRODUCT(Q100:Q107,Q40:Q47)/SUM(Q40:Q47)</f>
        <v>#N/A</v>
      </c>
      <c r="R109" s="1253"/>
      <c r="S109" s="624"/>
      <c r="T109" s="1789"/>
      <c r="U109" s="1789"/>
      <c r="V109" s="624"/>
    </row>
    <row r="110" spans="5:22" ht="15.75" thickBot="1" x14ac:dyDescent="0.3">
      <c r="K110" s="20"/>
      <c r="L110" s="308"/>
      <c r="M110" s="308"/>
      <c r="N110" s="20"/>
      <c r="O110" s="308"/>
      <c r="P110" s="308"/>
      <c r="Q110" s="308"/>
      <c r="R110" s="308"/>
    </row>
    <row r="111" spans="5:22" ht="16.5" thickBot="1" x14ac:dyDescent="0.3">
      <c r="J111" s="560"/>
      <c r="K111" s="1781" t="s">
        <v>326</v>
      </c>
      <c r="L111" s="1781"/>
      <c r="M111" s="227" t="s">
        <v>338</v>
      </c>
      <c r="N111" s="424" t="s">
        <v>339</v>
      </c>
      <c r="O111" s="424" t="s">
        <v>340</v>
      </c>
      <c r="P111" s="658"/>
      <c r="Q111" s="1254" t="str">
        <f>Q99</f>
        <v>QRI LEG ON 4-8</v>
      </c>
      <c r="R111" s="561"/>
    </row>
    <row r="112" spans="5:22" x14ac:dyDescent="0.25">
      <c r="J112" s="560" t="s">
        <v>390</v>
      </c>
      <c r="K112" s="731" t="e">
        <f>2*25*K100*(K40/K82)/(3600*K31)</f>
        <v>#DIV/0!</v>
      </c>
      <c r="L112" s="731"/>
      <c r="M112" s="731"/>
      <c r="N112" s="731" t="e">
        <f>2*25*N100*(N40/N82)/(3600*N31)</f>
        <v>#N/A</v>
      </c>
      <c r="O112" s="731" t="e">
        <f>2*25*O100*(O40/O82)/(3600*O31)</f>
        <v>#DIV/0!</v>
      </c>
      <c r="P112" s="731"/>
      <c r="Q112" s="731" t="e">
        <f>2*25*Q100*(Q40/Q82)/(3600*Q31)</f>
        <v>#N/A</v>
      </c>
      <c r="R112" s="561"/>
    </row>
    <row r="113" spans="10:18" x14ac:dyDescent="0.25">
      <c r="J113" s="17" t="s">
        <v>391</v>
      </c>
      <c r="K113" s="20" t="e">
        <f>2*25*K101*(K41/K83)/(3600*K32)</f>
        <v>#N/A</v>
      </c>
      <c r="L113" s="20"/>
      <c r="M113" s="20"/>
      <c r="N113" s="20" t="e">
        <f>2*25*N101*(N41/N83)/(3600*N32)</f>
        <v>#DIV/0!</v>
      </c>
      <c r="O113" s="20" t="e">
        <f>2*25*O101*(O41/O83)/(3600*O32)</f>
        <v>#N/A</v>
      </c>
      <c r="P113" s="20"/>
      <c r="Q113" s="20" t="e">
        <f>2*25*Q101*(Q41/Q83)/(3600*Q32)</f>
        <v>#DIV/0!</v>
      </c>
      <c r="R113" s="570"/>
    </row>
    <row r="114" spans="10:18" x14ac:dyDescent="0.25">
      <c r="J114" s="1156" t="s">
        <v>392</v>
      </c>
      <c r="K114" s="342">
        <f>IF(K33=0,0,2*25*K102*(K42/K84)/(3600*K33))</f>
        <v>0</v>
      </c>
      <c r="L114" s="342"/>
      <c r="M114" s="342"/>
      <c r="N114" s="342">
        <f>IF(N33=0,0,2*25*N102*(N42/N84)/(3600*N33))</f>
        <v>0</v>
      </c>
      <c r="O114" s="342">
        <f>IF(O33=0,0,2*25*O102*(O42/O84)/(3600*O33))</f>
        <v>0</v>
      </c>
      <c r="P114" s="342"/>
      <c r="Q114" s="342">
        <f>IF(Q33=0,0,2*25*Q102*(Q42/Q84)/(3600*Q33))</f>
        <v>0</v>
      </c>
      <c r="R114" s="1199"/>
    </row>
    <row r="115" spans="10:18" x14ac:dyDescent="0.25">
      <c r="J115" s="1153" t="s">
        <v>393</v>
      </c>
      <c r="K115" s="1162"/>
      <c r="L115" s="1154"/>
      <c r="M115" s="1154"/>
      <c r="N115" s="1154">
        <f>IF(N34=0,0,2*25*N103*(N43/N85)/(3600*N34))</f>
        <v>0</v>
      </c>
      <c r="O115" s="1154">
        <f>IF(O34=0,0,2*25*O103*(O43/O85)/(3600*O34))</f>
        <v>0</v>
      </c>
      <c r="P115" s="1154"/>
      <c r="Q115" s="1162"/>
      <c r="R115" s="1196"/>
    </row>
    <row r="116" spans="10:18" x14ac:dyDescent="0.25">
      <c r="J116" s="17" t="s">
        <v>394</v>
      </c>
      <c r="K116" s="504"/>
      <c r="L116" s="20"/>
      <c r="M116" s="20"/>
      <c r="N116" s="504"/>
      <c r="O116" s="504"/>
      <c r="P116" s="20"/>
      <c r="Q116" s="504"/>
      <c r="R116" s="570"/>
    </row>
    <row r="117" spans="10:18" x14ac:dyDescent="0.25">
      <c r="J117" s="1153" t="s">
        <v>395</v>
      </c>
      <c r="K117" s="20" t="e">
        <f>2*25*K105*(K45/K87)/(3600*K36)</f>
        <v>#N/A</v>
      </c>
      <c r="L117" s="1154"/>
      <c r="M117" s="1154"/>
      <c r="N117" s="1162"/>
      <c r="O117" s="1162"/>
      <c r="P117" s="1154"/>
      <c r="Q117" s="20" t="e">
        <f>2*25*Q105*(Q45/Q87)/(3600*Q36)</f>
        <v>#DIV/0!</v>
      </c>
      <c r="R117" s="1196"/>
    </row>
    <row r="118" spans="10:18" x14ac:dyDescent="0.25">
      <c r="J118" s="1156" t="s">
        <v>396</v>
      </c>
      <c r="K118" s="20" t="e">
        <f>2*25*K106*(K46/K88)/(3600*K37)</f>
        <v>#DIV/0!</v>
      </c>
      <c r="L118" s="342"/>
      <c r="M118" s="342"/>
      <c r="N118" s="1163"/>
      <c r="O118" s="1163"/>
      <c r="P118" s="342"/>
      <c r="Q118" s="20" t="e">
        <f>2*25*Q106*(Q46/Q88)/(3600*Q37)</f>
        <v>#DIV/0!</v>
      </c>
      <c r="R118" s="1199"/>
    </row>
    <row r="119" spans="10:18" ht="15.75" thickBot="1" x14ac:dyDescent="0.3">
      <c r="J119" s="19" t="s">
        <v>397</v>
      </c>
      <c r="K119" s="671">
        <f>IF(K38=0,0,2*25*K107*(K47/K89)/(3600*K38))</f>
        <v>0</v>
      </c>
      <c r="L119" s="671"/>
      <c r="M119" s="671"/>
      <c r="N119" s="1164"/>
      <c r="O119" s="1164"/>
      <c r="P119" s="671"/>
      <c r="Q119" s="671">
        <f>IF(Q47=0,0,2*25*Q107*(Q47/Q89)/(3600*Q38))</f>
        <v>0</v>
      </c>
      <c r="R119" s="666"/>
    </row>
  </sheetData>
  <sheetProtection algorithmName="SHA-512" hashValue="oP3Z+9EOCfxgFO4dhKRvdADNSm6bGcshSEwkpUWmmhob4pOeTDox/R4YBrctMGO8riRkPCTzchbtcqIsCyyJ2A==" saltValue="jhVQYrgqk/JSxxdPcTFhyw==" spinCount="100000" sheet="1" objects="1" scenarios="1"/>
  <mergeCells count="35">
    <mergeCell ref="B38:H38"/>
    <mergeCell ref="K48:L48"/>
    <mergeCell ref="Q48:R48"/>
    <mergeCell ref="N61:O61"/>
    <mergeCell ref="J62:R62"/>
    <mergeCell ref="G63:H63"/>
    <mergeCell ref="S63:T63"/>
    <mergeCell ref="S65:T65"/>
    <mergeCell ref="K111:L111"/>
    <mergeCell ref="G69:H69"/>
    <mergeCell ref="G70:H70"/>
    <mergeCell ref="S98:U98"/>
    <mergeCell ref="K99:L99"/>
    <mergeCell ref="N109:O109"/>
    <mergeCell ref="T109:U109"/>
    <mergeCell ref="F77:G77"/>
    <mergeCell ref="Q28:R28"/>
    <mergeCell ref="K29:L29"/>
    <mergeCell ref="N29:O29"/>
    <mergeCell ref="Q29:R29"/>
    <mergeCell ref="J28:J30"/>
    <mergeCell ref="G20:H20"/>
    <mergeCell ref="G21:H21"/>
    <mergeCell ref="L25:O25"/>
    <mergeCell ref="L26:O26"/>
    <mergeCell ref="K28:L28"/>
    <mergeCell ref="N28:O28"/>
    <mergeCell ref="C15:D15"/>
    <mergeCell ref="C3:E3"/>
    <mergeCell ref="J3:V3"/>
    <mergeCell ref="G6:I6"/>
    <mergeCell ref="X6:Y6"/>
    <mergeCell ref="G7:H7"/>
    <mergeCell ref="X7:Y7"/>
    <mergeCell ref="G13:H13"/>
  </mergeCells>
  <conditionalFormatting sqref="B39">
    <cfRule type="cellIs" dxfId="53" priority="7" operator="equal">
      <formula>1</formula>
    </cfRule>
  </conditionalFormatting>
  <conditionalFormatting sqref="D48">
    <cfRule type="containsText" dxfId="52" priority="6" operator="containsText" text="OVERCAP">
      <formula>NOT(ISERROR(SEARCH("OVERCAP",D48)))</formula>
    </cfRule>
  </conditionalFormatting>
  <conditionalFormatting sqref="D52">
    <cfRule type="containsText" dxfId="51" priority="5" operator="containsText" text="OVERCAP">
      <formula>NOT(ISERROR(SEARCH("OVERCAP",D52)))</formula>
    </cfRule>
  </conditionalFormatting>
  <conditionalFormatting sqref="K100:K108 Q108 N100:N107 O100:O103">
    <cfRule type="colorScale" priority="20">
      <colorScale>
        <cfvo type="min"/>
        <cfvo type="percentile" val="50"/>
        <cfvo type="max"/>
        <color rgb="FF63BE7B"/>
        <color rgb="FFFFEB84"/>
        <color rgb="FFF8696B"/>
      </colorScale>
    </cfRule>
  </conditionalFormatting>
  <conditionalFormatting sqref="N110 K110">
    <cfRule type="colorScale" priority="19">
      <colorScale>
        <cfvo type="min"/>
        <cfvo type="percentile" val="50"/>
        <cfvo type="max"/>
        <color rgb="FF63BE7B"/>
        <color rgb="FFFFEB84"/>
        <color rgb="FFF8696B"/>
      </colorScale>
    </cfRule>
  </conditionalFormatting>
  <conditionalFormatting sqref="K112:K119 N112:N119 O112:O115">
    <cfRule type="colorScale" priority="11">
      <colorScale>
        <cfvo type="min"/>
        <cfvo type="percentile" val="50"/>
        <cfvo type="max"/>
        <color rgb="FF63BE7B"/>
        <color rgb="FFFFEB84"/>
        <color rgb="FFF8696B"/>
      </colorScale>
    </cfRule>
  </conditionalFormatting>
  <conditionalFormatting sqref="K61:N61 P61:Q61 K63:Q63">
    <cfRule type="containsText" dxfId="50" priority="22" operator="containsText" text="OVERCAP">
      <formula>NOT(ISERROR(SEARCH("OVERCAP",K61)))</formula>
    </cfRule>
  </conditionalFormatting>
  <conditionalFormatting sqref="K82:Q89">
    <cfRule type="cellIs" dxfId="49" priority="3" operator="greaterThan">
      <formula>1</formula>
    </cfRule>
  </conditionalFormatting>
  <conditionalFormatting sqref="K16:V16">
    <cfRule type="colorScale" priority="18">
      <colorScale>
        <cfvo type="min"/>
        <cfvo type="percentile" val="50"/>
        <cfvo type="max"/>
        <color rgb="FF63BE7B"/>
        <color rgb="FFFFEB84"/>
        <color rgb="FFF8696B"/>
      </colorScale>
    </cfRule>
  </conditionalFormatting>
  <conditionalFormatting sqref="K18:V18">
    <cfRule type="cellIs" dxfId="48" priority="16" operator="equal">
      <formula>"F"</formula>
    </cfRule>
    <cfRule type="colorScale" priority="17">
      <colorScale>
        <cfvo type="min"/>
        <cfvo type="percentile" val="50"/>
        <cfvo type="max"/>
        <color rgb="FF63BE7B"/>
        <color rgb="FFFFEB84"/>
        <color rgb="FFF8696B"/>
      </colorScale>
    </cfRule>
  </conditionalFormatting>
  <conditionalFormatting sqref="O23:V23">
    <cfRule type="colorScale" priority="13">
      <colorScale>
        <cfvo type="min"/>
        <cfvo type="percentile" val="50"/>
        <cfvo type="max"/>
        <color rgb="FF63BE7B"/>
        <color rgb="FFFFEB84"/>
        <color rgb="FFF8696B"/>
      </colorScale>
    </cfRule>
  </conditionalFormatting>
  <conditionalFormatting sqref="Q64">
    <cfRule type="cellIs" dxfId="47" priority="14" operator="equal">
      <formula>0</formula>
    </cfRule>
    <cfRule type="cellIs" dxfId="46" priority="29" operator="greaterThan">
      <formula>$E$11</formula>
    </cfRule>
  </conditionalFormatting>
  <conditionalFormatting sqref="Q100:Q107">
    <cfRule type="colorScale" priority="1">
      <colorScale>
        <cfvo type="min"/>
        <cfvo type="percentile" val="50"/>
        <cfvo type="max"/>
        <color rgb="FF63BE7B"/>
        <color rgb="FFFFEB84"/>
        <color rgb="FFF8696B"/>
      </colorScale>
    </cfRule>
  </conditionalFormatting>
  <conditionalFormatting sqref="Q112:Q114">
    <cfRule type="colorScale" priority="9">
      <colorScale>
        <cfvo type="min"/>
        <cfvo type="percentile" val="50"/>
        <cfvo type="max"/>
        <color rgb="FF63BE7B"/>
        <color rgb="FFFFEB84"/>
        <color rgb="FFF8696B"/>
      </colorScale>
    </cfRule>
  </conditionalFormatting>
  <conditionalFormatting sqref="Q115:Q116">
    <cfRule type="colorScale" priority="10">
      <colorScale>
        <cfvo type="min"/>
        <cfvo type="percentile" val="50"/>
        <cfvo type="max"/>
        <color rgb="FF63BE7B"/>
        <color rgb="FFFFEB84"/>
        <color rgb="FFF8696B"/>
      </colorScale>
    </cfRule>
  </conditionalFormatting>
  <conditionalFormatting sqref="Q117:Q119">
    <cfRule type="colorScale" priority="8">
      <colorScale>
        <cfvo type="min"/>
        <cfvo type="percentile" val="50"/>
        <cfvo type="max"/>
        <color rgb="FF63BE7B"/>
        <color rgb="FFFFEB84"/>
        <color rgb="FFF8696B"/>
      </colorScale>
    </cfRule>
  </conditionalFormatting>
  <conditionalFormatting sqref="S100:S107 U100:V107">
    <cfRule type="colorScale" priority="4">
      <colorScale>
        <cfvo type="min"/>
        <cfvo type="percentile" val="50"/>
        <cfvo type="max"/>
        <color rgb="FF63BE7B"/>
        <color rgb="FFFFEB84"/>
        <color rgb="FFF8696B"/>
      </colorScale>
    </cfRule>
  </conditionalFormatting>
  <conditionalFormatting sqref="T100:T107">
    <cfRule type="colorScale" priority="2">
      <colorScale>
        <cfvo type="min"/>
        <cfvo type="percentile" val="50"/>
        <cfvo type="max"/>
        <color rgb="FF63BE7B"/>
        <color rgb="FFFFEB84"/>
        <color rgb="FFF8696B"/>
      </colorScale>
    </cfRule>
  </conditionalFormatting>
  <conditionalFormatting sqref="V20">
    <cfRule type="containsText" dxfId="45" priority="15" operator="containsText" text="YES">
      <formula>NOT(ISERROR(SEARCH("YES",V20)))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D118"/>
  <sheetViews>
    <sheetView topLeftCell="A2" workbookViewId="0">
      <selection activeCell="J23" sqref="J23"/>
    </sheetView>
  </sheetViews>
  <sheetFormatPr defaultColWidth="8.85546875" defaultRowHeight="15" x14ac:dyDescent="0.25"/>
  <cols>
    <col min="1" max="1" width="3.140625" customWidth="1"/>
    <col min="2" max="2" width="2.28515625" customWidth="1"/>
    <col min="4" max="4" width="48.42578125" customWidth="1"/>
    <col min="5" max="5" width="12.7109375" customWidth="1"/>
    <col min="6" max="6" width="7.7109375" customWidth="1"/>
    <col min="7" max="7" width="7.42578125" customWidth="1"/>
    <col min="8" max="8" width="10" customWidth="1"/>
    <col min="9" max="9" width="17.7109375" customWidth="1"/>
    <col min="10" max="10" width="56" customWidth="1"/>
    <col min="11" max="11" width="20.140625" bestFit="1" customWidth="1"/>
    <col min="13" max="13" width="10.28515625" customWidth="1"/>
    <col min="14" max="14" width="9.7109375" customWidth="1"/>
    <col min="15" max="15" width="11.28515625" customWidth="1"/>
    <col min="16" max="16" width="10.42578125" customWidth="1"/>
    <col min="17" max="17" width="11.28515625" customWidth="1"/>
    <col min="20" max="20" width="10.140625" customWidth="1"/>
    <col min="21" max="21" width="12.14062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685" t="s">
        <v>0</v>
      </c>
      <c r="D3" s="1686"/>
      <c r="E3" s="1687"/>
      <c r="J3" s="1685" t="s">
        <v>1067</v>
      </c>
      <c r="K3" s="1686"/>
      <c r="L3" s="1686"/>
      <c r="M3" s="1686"/>
      <c r="N3" s="1686"/>
      <c r="O3" s="1686"/>
      <c r="P3" s="1686"/>
      <c r="Q3" s="1686"/>
      <c r="R3" s="1686"/>
      <c r="S3" s="1686"/>
      <c r="T3" s="1686"/>
      <c r="U3" s="1686"/>
      <c r="V3" s="1687"/>
    </row>
    <row r="4" spans="3:25" ht="5.25" customHeight="1" thickBot="1" x14ac:dyDescent="0.3"/>
    <row r="5" spans="3:25" ht="18.75" customHeight="1" thickBot="1" x14ac:dyDescent="0.3">
      <c r="C5" s="560" t="s">
        <v>1043</v>
      </c>
      <c r="D5" s="561"/>
      <c r="E5" s="1633">
        <f>'GLOBAL INPUTS'!F55</f>
        <v>0</v>
      </c>
      <c r="F5" s="1633"/>
      <c r="G5" s="1633"/>
      <c r="H5" s="1633"/>
      <c r="I5" s="1634"/>
    </row>
    <row r="6" spans="3:25" ht="16.5" thickBot="1" x14ac:dyDescent="0.3">
      <c r="C6" s="17" t="s">
        <v>1279</v>
      </c>
      <c r="E6" s="881">
        <f>'GLOBAL INPUTS'!F56</f>
        <v>0</v>
      </c>
      <c r="F6" s="483"/>
      <c r="G6" s="1803"/>
      <c r="H6" s="1803"/>
      <c r="I6" s="1804"/>
      <c r="J6" s="566" t="s">
        <v>6</v>
      </c>
      <c r="K6" s="567">
        <v>2</v>
      </c>
      <c r="L6" s="567">
        <v>2</v>
      </c>
      <c r="M6" s="568">
        <v>2</v>
      </c>
      <c r="N6" s="569">
        <v>4</v>
      </c>
      <c r="O6" s="567">
        <v>4</v>
      </c>
      <c r="P6" s="568">
        <v>4</v>
      </c>
      <c r="Q6" s="569">
        <v>6</v>
      </c>
      <c r="R6" s="567">
        <v>6</v>
      </c>
      <c r="S6" s="568">
        <v>6</v>
      </c>
      <c r="T6" s="569">
        <v>8</v>
      </c>
      <c r="U6" s="567">
        <v>8</v>
      </c>
      <c r="V6" s="568">
        <v>8</v>
      </c>
      <c r="X6" s="1664"/>
      <c r="Y6" s="1664"/>
    </row>
    <row r="7" spans="3:25" ht="16.5" thickBot="1" x14ac:dyDescent="0.3">
      <c r="C7" s="17" t="s">
        <v>470</v>
      </c>
      <c r="E7" s="881">
        <f>'GLOBAL INPUTS'!F58</f>
        <v>0</v>
      </c>
      <c r="F7" s="742"/>
      <c r="G7" s="1696"/>
      <c r="H7" s="1697"/>
      <c r="J7" s="573" t="s">
        <v>7</v>
      </c>
      <c r="K7" s="32">
        <v>4</v>
      </c>
      <c r="L7" s="32">
        <v>6</v>
      </c>
      <c r="M7" s="574">
        <v>8</v>
      </c>
      <c r="N7" s="575">
        <v>6</v>
      </c>
      <c r="O7" s="32">
        <v>8</v>
      </c>
      <c r="P7" s="574">
        <v>2</v>
      </c>
      <c r="Q7" s="575">
        <v>8</v>
      </c>
      <c r="R7" s="32">
        <v>2</v>
      </c>
      <c r="S7" s="574">
        <v>4</v>
      </c>
      <c r="T7" s="575">
        <v>2</v>
      </c>
      <c r="U7" s="32">
        <v>4</v>
      </c>
      <c r="V7" s="574">
        <v>6</v>
      </c>
      <c r="X7" s="1681"/>
      <c r="Y7" s="1681"/>
    </row>
    <row r="8" spans="3:25" ht="16.5" thickBot="1" x14ac:dyDescent="0.3">
      <c r="C8" s="17" t="s">
        <v>1002</v>
      </c>
      <c r="E8" s="881">
        <f>'GLOBAL INPUTS'!F58</f>
        <v>0</v>
      </c>
      <c r="F8" s="742" t="s">
        <v>2</v>
      </c>
      <c r="J8" s="577" t="s">
        <v>8</v>
      </c>
      <c r="K8" s="18" t="s">
        <v>9</v>
      </c>
      <c r="L8" s="18" t="s">
        <v>10</v>
      </c>
      <c r="M8" s="578" t="s">
        <v>11</v>
      </c>
      <c r="N8" s="579" t="s">
        <v>9</v>
      </c>
      <c r="O8" s="18" t="s">
        <v>10</v>
      </c>
      <c r="P8" s="578" t="s">
        <v>11</v>
      </c>
      <c r="Q8" s="579" t="s">
        <v>9</v>
      </c>
      <c r="R8" s="18" t="s">
        <v>10</v>
      </c>
      <c r="S8" s="578" t="s">
        <v>11</v>
      </c>
      <c r="T8" s="579" t="s">
        <v>9</v>
      </c>
      <c r="U8" s="18" t="s">
        <v>10</v>
      </c>
      <c r="V8" s="578" t="s">
        <v>11</v>
      </c>
      <c r="Y8" s="14"/>
    </row>
    <row r="9" spans="3:25" ht="16.5" thickBot="1" x14ac:dyDescent="0.3">
      <c r="C9" s="17" t="s">
        <v>1273</v>
      </c>
      <c r="E9" s="881">
        <f>'GLOBAL INPUTS'!F68</f>
        <v>0</v>
      </c>
      <c r="F9" s="742"/>
      <c r="J9" s="587" t="s">
        <v>41</v>
      </c>
      <c r="K9" s="743"/>
      <c r="L9" s="744">
        <f>E6</f>
        <v>0</v>
      </c>
      <c r="M9" s="745"/>
      <c r="N9" s="746"/>
      <c r="O9" s="744" t="str">
        <f>'GLOBAL INPUTS'!N60</f>
        <v>NB</v>
      </c>
      <c r="P9" s="745"/>
      <c r="Q9" s="746"/>
      <c r="R9" s="744" t="str">
        <f>'GLOBAL INPUTS'!N63</f>
        <v>EB</v>
      </c>
      <c r="S9" s="745"/>
      <c r="T9" s="746"/>
      <c r="U9" s="744" t="str">
        <f>'GLOBAL INPUTS'!N66</f>
        <v>SB</v>
      </c>
      <c r="V9" s="747"/>
      <c r="Y9" s="14"/>
    </row>
    <row r="10" spans="3:25" ht="16.5" thickBot="1" x14ac:dyDescent="0.3">
      <c r="C10" s="591"/>
      <c r="D10" s="18"/>
      <c r="E10" s="881"/>
      <c r="F10" s="742"/>
      <c r="J10" s="1258" t="s">
        <v>711</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Y10" s="14"/>
    </row>
    <row r="11" spans="3:25" ht="16.5" thickBot="1" x14ac:dyDescent="0.3">
      <c r="C11" s="17" t="s">
        <v>1049</v>
      </c>
      <c r="E11" s="881">
        <f>'GLOBAL INPUTS'!F63</f>
        <v>0</v>
      </c>
      <c r="F11" s="742" t="s">
        <v>708</v>
      </c>
      <c r="J11" s="587" t="s">
        <v>91</v>
      </c>
      <c r="K11" s="749">
        <f t="shared" ref="K11:V11" si="0">K10*$E$9</f>
        <v>0</v>
      </c>
      <c r="L11" s="749">
        <f t="shared" si="0"/>
        <v>0</v>
      </c>
      <c r="M11" s="749">
        <f t="shared" si="0"/>
        <v>0</v>
      </c>
      <c r="N11" s="749">
        <f t="shared" si="0"/>
        <v>0</v>
      </c>
      <c r="O11" s="749">
        <f t="shared" si="0"/>
        <v>0</v>
      </c>
      <c r="P11" s="749">
        <f t="shared" si="0"/>
        <v>0</v>
      </c>
      <c r="Q11" s="749">
        <f t="shared" si="0"/>
        <v>0</v>
      </c>
      <c r="R11" s="749">
        <f t="shared" si="0"/>
        <v>0</v>
      </c>
      <c r="S11" s="749">
        <f t="shared" si="0"/>
        <v>0</v>
      </c>
      <c r="T11" s="749">
        <f t="shared" si="0"/>
        <v>0</v>
      </c>
      <c r="U11" s="749">
        <f t="shared" si="0"/>
        <v>0</v>
      </c>
      <c r="V11" s="495">
        <f t="shared" si="0"/>
        <v>0</v>
      </c>
      <c r="Y11" s="14"/>
    </row>
    <row r="12" spans="3:25" ht="15.75" x14ac:dyDescent="0.25">
      <c r="C12" s="17" t="s">
        <v>1050</v>
      </c>
      <c r="E12" s="881">
        <f>'GLOBAL INPUTS'!F64</f>
        <v>0</v>
      </c>
      <c r="F12" s="742" t="s">
        <v>708</v>
      </c>
      <c r="J12" s="750" t="s">
        <v>31</v>
      </c>
      <c r="K12" s="1259" t="e">
        <f t="shared" ref="K12:V12" si="1">ROUND(K11/$E$7,0)</f>
        <v>#DIV/0!</v>
      </c>
      <c r="L12" s="595" t="e">
        <f t="shared" si="1"/>
        <v>#DIV/0!</v>
      </c>
      <c r="M12" s="595" t="e">
        <f t="shared" si="1"/>
        <v>#DIV/0!</v>
      </c>
      <c r="N12" s="595" t="e">
        <f t="shared" si="1"/>
        <v>#DIV/0!</v>
      </c>
      <c r="O12" s="595" t="e">
        <f t="shared" si="1"/>
        <v>#DIV/0!</v>
      </c>
      <c r="P12" s="595" t="e">
        <f t="shared" si="1"/>
        <v>#DIV/0!</v>
      </c>
      <c r="Q12" s="595" t="e">
        <f t="shared" si="1"/>
        <v>#DIV/0!</v>
      </c>
      <c r="R12" s="595" t="e">
        <f t="shared" si="1"/>
        <v>#DIV/0!</v>
      </c>
      <c r="S12" s="595" t="e">
        <f t="shared" si="1"/>
        <v>#DIV/0!</v>
      </c>
      <c r="T12" s="595" t="e">
        <f t="shared" si="1"/>
        <v>#DIV/0!</v>
      </c>
      <c r="U12" s="595" t="e">
        <f t="shared" si="1"/>
        <v>#DIV/0!</v>
      </c>
      <c r="V12" s="1260" t="e">
        <f t="shared" si="1"/>
        <v>#DIV/0!</v>
      </c>
      <c r="Y12" s="14"/>
    </row>
    <row r="13" spans="3:25" ht="16.5" thickBot="1" x14ac:dyDescent="0.3">
      <c r="C13" s="17" t="s">
        <v>61</v>
      </c>
      <c r="E13" s="881">
        <f>'GLOBAL INPUTS'!F65</f>
        <v>0</v>
      </c>
      <c r="F13" s="742" t="s">
        <v>1282</v>
      </c>
      <c r="G13" s="1681"/>
      <c r="H13" s="1681"/>
      <c r="J13" s="751" t="s">
        <v>57</v>
      </c>
      <c r="K13" s="1261" t="e">
        <f t="shared" ref="K13:V13" si="2">ROUND(K12*(1+$E$8/100),0)</f>
        <v>#DIV/0!</v>
      </c>
      <c r="L13" s="1262" t="e">
        <f t="shared" si="2"/>
        <v>#DIV/0!</v>
      </c>
      <c r="M13" s="1262" t="e">
        <f t="shared" si="2"/>
        <v>#DIV/0!</v>
      </c>
      <c r="N13" s="1262" t="e">
        <f t="shared" si="2"/>
        <v>#DIV/0!</v>
      </c>
      <c r="O13" s="1262" t="e">
        <f t="shared" si="2"/>
        <v>#DIV/0!</v>
      </c>
      <c r="P13" s="1262" t="e">
        <f t="shared" si="2"/>
        <v>#DIV/0!</v>
      </c>
      <c r="Q13" s="1262" t="e">
        <f t="shared" si="2"/>
        <v>#DIV/0!</v>
      </c>
      <c r="R13" s="1262" t="e">
        <f t="shared" si="2"/>
        <v>#DIV/0!</v>
      </c>
      <c r="S13" s="1262" t="e">
        <f t="shared" si="2"/>
        <v>#DIV/0!</v>
      </c>
      <c r="T13" s="1262" t="e">
        <f t="shared" si="2"/>
        <v>#DIV/0!</v>
      </c>
      <c r="U13" s="1262" t="e">
        <f t="shared" si="2"/>
        <v>#DIV/0!</v>
      </c>
      <c r="V13" s="1263" t="e">
        <f t="shared" si="2"/>
        <v>#DIV/0!</v>
      </c>
      <c r="Y13" s="14"/>
    </row>
    <row r="14" spans="3:25" ht="16.5" thickBot="1" x14ac:dyDescent="0.3">
      <c r="C14" s="17" t="s">
        <v>1272</v>
      </c>
      <c r="E14" s="881">
        <f>'GLOBAL INPUTS'!F66</f>
        <v>0</v>
      </c>
      <c r="F14" s="742"/>
      <c r="G14" s="14"/>
      <c r="J14" s="754" t="s">
        <v>1065</v>
      </c>
      <c r="K14" s="755" t="e">
        <f>K101+Q106+O100</f>
        <v>#DIV/0!</v>
      </c>
      <c r="L14" s="755" t="e">
        <f>K99+N99</f>
        <v>#DIV/0!</v>
      </c>
      <c r="M14" s="756" t="e">
        <f>0.5*(K101+Q105)+0.5*(K101+N101+Q99)</f>
        <v>#DIV/0!</v>
      </c>
      <c r="N14" s="757" t="e">
        <f>O99+Q101+K105+N99</f>
        <v>#DIV/0!</v>
      </c>
      <c r="O14" s="755" t="e">
        <f>O99+Q99</f>
        <v>#DIV/0!</v>
      </c>
      <c r="P14" s="756" t="e">
        <f>O101+K100</f>
        <v>#N/A</v>
      </c>
      <c r="Q14" s="757" t="e">
        <f>N100+K104+Q105</f>
        <v>#DIV/0!</v>
      </c>
      <c r="R14" s="755" t="e">
        <f>N100+Q100</f>
        <v>#DIV/0!</v>
      </c>
      <c r="S14" s="756">
        <f>N102</f>
        <v>0</v>
      </c>
      <c r="T14" s="757" t="e">
        <f>Q104+K106</f>
        <v>#DIV/0!</v>
      </c>
      <c r="U14" s="755" t="e">
        <f>Q100+O100</f>
        <v>#DIV/0!</v>
      </c>
      <c r="V14" s="756" t="e">
        <f>Q100+O102</f>
        <v>#DIV/0!</v>
      </c>
    </row>
    <row r="15" spans="3:25" ht="15.75" x14ac:dyDescent="0.25">
      <c r="C15" s="1756" t="str">
        <f>'GLOBAL INPUTS'!D67</f>
        <v xml:space="preserve">Coordination arrival type on major road (1=poor; 6=outstanding) </v>
      </c>
      <c r="D15" s="1664"/>
      <c r="E15" s="694">
        <f>'GLOBAL INPUTS'!F67</f>
        <v>0</v>
      </c>
      <c r="F15" s="13"/>
      <c r="J15" s="754" t="s">
        <v>1064</v>
      </c>
      <c r="K15" s="322" t="e">
        <f>(E35-2*E10)/(1.47*E16)</f>
        <v>#DIV/0!</v>
      </c>
      <c r="L15" s="322"/>
      <c r="M15" s="604"/>
      <c r="N15" s="322" t="e">
        <f>E35/(1.47*E16)</f>
        <v>#DIV/0!</v>
      </c>
      <c r="O15" s="322"/>
      <c r="P15" s="604"/>
      <c r="Q15" s="322" t="e">
        <f>(2*E10+E35)/(1.47*E16)</f>
        <v>#DIV/0!</v>
      </c>
      <c r="R15" s="322"/>
      <c r="S15" s="604"/>
      <c r="T15" s="322" t="e">
        <f>E35/(E16*1.47)</f>
        <v>#DIV/0!</v>
      </c>
      <c r="U15" s="322"/>
      <c r="V15" s="604"/>
    </row>
    <row r="16" spans="3:25" ht="16.5" thickBot="1" x14ac:dyDescent="0.3">
      <c r="C16" s="19" t="s">
        <v>1274</v>
      </c>
      <c r="D16" s="248"/>
      <c r="E16" s="1264">
        <f>'GLOBAL INPUTS'!F57</f>
        <v>0</v>
      </c>
      <c r="F16" s="766" t="s">
        <v>1035</v>
      </c>
      <c r="J16" s="754" t="s">
        <v>1063</v>
      </c>
      <c r="K16" s="760" t="e">
        <f t="shared" ref="K16:V16" si="3">K14+K15</f>
        <v>#DIV/0!</v>
      </c>
      <c r="L16" s="760" t="e">
        <f t="shared" si="3"/>
        <v>#DIV/0!</v>
      </c>
      <c r="M16" s="761" t="e">
        <f t="shared" si="3"/>
        <v>#DIV/0!</v>
      </c>
      <c r="N16" s="762" t="e">
        <f t="shared" si="3"/>
        <v>#DIV/0!</v>
      </c>
      <c r="O16" s="760" t="e">
        <f t="shared" si="3"/>
        <v>#DIV/0!</v>
      </c>
      <c r="P16" s="761" t="e">
        <f t="shared" si="3"/>
        <v>#N/A</v>
      </c>
      <c r="Q16" s="762" t="e">
        <f t="shared" si="3"/>
        <v>#DIV/0!</v>
      </c>
      <c r="R16" s="760" t="e">
        <f t="shared" si="3"/>
        <v>#DIV/0!</v>
      </c>
      <c r="S16" s="761">
        <f t="shared" si="3"/>
        <v>0</v>
      </c>
      <c r="T16" s="762" t="e">
        <f t="shared" si="3"/>
        <v>#DIV/0!</v>
      </c>
      <c r="U16" s="760" t="e">
        <f t="shared" si="3"/>
        <v>#DIV/0!</v>
      </c>
      <c r="V16" s="761" t="e">
        <f t="shared" si="3"/>
        <v>#DIV/0!</v>
      </c>
      <c r="Y16" s="18"/>
    </row>
    <row r="17" spans="7:22" ht="16.5" thickBot="1" x14ac:dyDescent="0.3">
      <c r="J17" s="754" t="s">
        <v>1077</v>
      </c>
      <c r="K17" s="203"/>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row>
    <row r="18" spans="7:22" ht="15.75" thickBot="1" x14ac:dyDescent="0.3">
      <c r="J18" s="763" t="s">
        <v>95</v>
      </c>
      <c r="K18" s="764" t="e">
        <f>VLOOKUP(K16,$G$22:$H$27,2,TRUE)</f>
        <v>#DIV/0!</v>
      </c>
      <c r="L18" s="764" t="e">
        <f t="shared" ref="L18:V18" si="4">VLOOKUP(L16,$G$22:$H$27,2,TRUE)</f>
        <v>#DIV/0!</v>
      </c>
      <c r="M18" s="764" t="e">
        <f t="shared" si="4"/>
        <v>#DIV/0!</v>
      </c>
      <c r="N18" s="764" t="e">
        <f t="shared" si="4"/>
        <v>#DIV/0!</v>
      </c>
      <c r="O18" s="764" t="e">
        <f t="shared" si="4"/>
        <v>#DIV/0!</v>
      </c>
      <c r="P18" s="764" t="e">
        <f t="shared" si="4"/>
        <v>#N/A</v>
      </c>
      <c r="Q18" s="764" t="e">
        <f t="shared" si="4"/>
        <v>#DIV/0!</v>
      </c>
      <c r="R18" s="764" t="e">
        <f t="shared" si="4"/>
        <v>#DIV/0!</v>
      </c>
      <c r="S18" s="764" t="str">
        <f t="shared" si="4"/>
        <v>A</v>
      </c>
      <c r="T18" s="764" t="e">
        <f t="shared" si="4"/>
        <v>#DIV/0!</v>
      </c>
      <c r="U18" s="764" t="e">
        <f t="shared" si="4"/>
        <v>#DIV/0!</v>
      </c>
      <c r="V18" s="764" t="e">
        <f t="shared" si="4"/>
        <v>#DIV/0!</v>
      </c>
    </row>
    <row r="19" spans="7:22" ht="21.75" thickBot="1" x14ac:dyDescent="0.4">
      <c r="K19" s="1265" t="s">
        <v>76</v>
      </c>
      <c r="L19" s="768"/>
      <c r="M19" s="769"/>
      <c r="N19" s="1134" t="e">
        <f>SUMPRODUCT(K14:V14,K13:V13)/SUM(K13:V13)</f>
        <v>#DIV/0!</v>
      </c>
      <c r="O19" s="1135" t="e">
        <f>VLOOKUP(N19,G22:H27,2,TRUE)</f>
        <v>#DIV/0!</v>
      </c>
      <c r="P19" s="616"/>
      <c r="Q19" s="1265" t="s">
        <v>40</v>
      </c>
      <c r="R19" s="1266"/>
      <c r="S19" s="1266"/>
      <c r="T19" s="1267"/>
      <c r="U19" s="621" t="e">
        <f>SUMPRODUCT(K13:V13,K16:V16)/SUM(K13:V13)</f>
        <v>#DIV/0!</v>
      </c>
      <c r="V19" s="622" t="e">
        <f>VLOOKUP(U19,G22:H27,2,TRUE)</f>
        <v>#DIV/0!</v>
      </c>
    </row>
    <row r="20" spans="7:22" ht="19.5" thickBot="1" x14ac:dyDescent="0.35">
      <c r="G20" s="1706" t="s">
        <v>93</v>
      </c>
      <c r="H20" s="1707"/>
      <c r="K20" s="195"/>
      <c r="L20" s="195"/>
      <c r="M20" s="195"/>
      <c r="N20" s="195"/>
      <c r="P20" s="195"/>
      <c r="Q20" s="1268" t="s">
        <v>398</v>
      </c>
      <c r="R20" s="629"/>
      <c r="S20" s="629"/>
      <c r="T20" s="629"/>
      <c r="U20" s="264"/>
      <c r="V20" s="773" t="e">
        <f>IF(MAX(N111,O112)&gt;E10,"YES","NO")</f>
        <v>#N/A</v>
      </c>
    </row>
    <row r="21" spans="7:22" ht="19.5" thickBot="1" x14ac:dyDescent="0.35">
      <c r="G21" s="1708" t="s">
        <v>94</v>
      </c>
      <c r="H21" s="1709"/>
      <c r="J21" s="471"/>
      <c r="K21" s="27"/>
      <c r="L21" s="27"/>
      <c r="M21" s="27"/>
      <c r="N21" s="27"/>
      <c r="O21" s="195"/>
      <c r="P21" s="195"/>
      <c r="Q21" s="1268" t="s">
        <v>399</v>
      </c>
      <c r="R21" s="629"/>
      <c r="S21" s="629"/>
      <c r="T21" s="629"/>
      <c r="U21" s="264"/>
      <c r="V21" s="773" t="e">
        <f>IF(MAX(K117,K118,Q117,Q118)&gt;2*E10,"YES","NO")</f>
        <v>#DIV/0!</v>
      </c>
    </row>
    <row r="22" spans="7:22" x14ac:dyDescent="0.25">
      <c r="G22" s="911">
        <v>0</v>
      </c>
      <c r="H22" s="759" t="s">
        <v>16</v>
      </c>
      <c r="J22" s="276" t="s">
        <v>1378</v>
      </c>
      <c r="K22" s="276"/>
      <c r="M22" s="18"/>
      <c r="N22" s="18"/>
      <c r="T22" s="15"/>
      <c r="U22" s="15"/>
    </row>
    <row r="23" spans="7:22" x14ac:dyDescent="0.25">
      <c r="G23" s="911">
        <v>10</v>
      </c>
      <c r="H23" s="759" t="s">
        <v>17</v>
      </c>
      <c r="J23" s="15" t="s">
        <v>1236</v>
      </c>
      <c r="M23" s="18"/>
      <c r="N23" s="18"/>
      <c r="O23" s="18"/>
      <c r="P23" s="18"/>
      <c r="Q23" s="18"/>
      <c r="R23" s="18"/>
      <c r="S23" s="18"/>
      <c r="T23" s="18"/>
      <c r="U23" s="18"/>
      <c r="V23" s="18"/>
    </row>
    <row r="24" spans="7:22" x14ac:dyDescent="0.25">
      <c r="G24" s="911">
        <v>20</v>
      </c>
      <c r="H24" s="759" t="s">
        <v>18</v>
      </c>
      <c r="J24" s="258"/>
      <c r="K24" s="18"/>
      <c r="L24" s="18"/>
      <c r="M24" s="18"/>
      <c r="N24" s="18"/>
    </row>
    <row r="25" spans="7:22" ht="19.5" thickBot="1" x14ac:dyDescent="0.35">
      <c r="G25" s="911">
        <v>35</v>
      </c>
      <c r="H25" s="759" t="s">
        <v>19</v>
      </c>
      <c r="J25" s="258"/>
      <c r="K25" s="18"/>
      <c r="L25" s="18"/>
      <c r="M25" s="158"/>
      <c r="N25" s="158"/>
      <c r="O25" s="195"/>
    </row>
    <row r="26" spans="7:22" ht="21.75" thickBot="1" x14ac:dyDescent="0.4">
      <c r="G26" s="911">
        <v>55</v>
      </c>
      <c r="H26" s="759" t="s">
        <v>20</v>
      </c>
      <c r="L26" s="1769" t="s">
        <v>325</v>
      </c>
      <c r="M26" s="1770"/>
      <c r="N26" s="1770"/>
      <c r="O26" s="1770"/>
      <c r="P26" s="1269">
        <f>E13*0.95</f>
        <v>0</v>
      </c>
    </row>
    <row r="27" spans="7:22" ht="15.75" thickBot="1" x14ac:dyDescent="0.3">
      <c r="G27" s="911">
        <v>80</v>
      </c>
      <c r="H27" s="759" t="s">
        <v>21</v>
      </c>
    </row>
    <row r="28" spans="7:22" ht="15.75" thickBot="1" x14ac:dyDescent="0.3">
      <c r="J28" s="1700" t="s">
        <v>955</v>
      </c>
      <c r="K28" s="1688" t="s">
        <v>952</v>
      </c>
      <c r="L28" s="1689"/>
      <c r="M28" s="15"/>
      <c r="P28" s="15"/>
      <c r="Q28" s="1688" t="s">
        <v>953</v>
      </c>
      <c r="R28" s="1689"/>
    </row>
    <row r="29" spans="7:22" ht="18.75" x14ac:dyDescent="0.3">
      <c r="J29" s="1701"/>
      <c r="K29" s="1270" t="s">
        <v>712</v>
      </c>
      <c r="L29" s="1271"/>
      <c r="N29" s="1713" t="s">
        <v>100</v>
      </c>
      <c r="O29" s="1714"/>
      <c r="P29" s="774"/>
      <c r="Q29" s="1270" t="s">
        <v>930</v>
      </c>
      <c r="R29" s="1271"/>
    </row>
    <row r="30" spans="7:22" ht="19.5" thickBot="1" x14ac:dyDescent="0.35">
      <c r="J30" s="1702"/>
      <c r="K30" s="19"/>
      <c r="L30" s="1272"/>
      <c r="M30" s="1273"/>
      <c r="N30" s="1274"/>
      <c r="O30" s="1272"/>
      <c r="P30" s="1273"/>
      <c r="Q30" s="19"/>
      <c r="R30" s="1275"/>
    </row>
    <row r="31" spans="7:22" ht="15.75" x14ac:dyDescent="0.25">
      <c r="J31" s="560" t="s">
        <v>329</v>
      </c>
      <c r="K31" s="10"/>
      <c r="L31" s="777" t="str">
        <f>CONCATENATE($L$9,"T")</f>
        <v>0T</v>
      </c>
      <c r="M31" s="1142" t="str">
        <f>L31</f>
        <v>0T</v>
      </c>
      <c r="N31" s="10"/>
      <c r="O31" s="1315"/>
      <c r="P31" s="777" t="str">
        <f>R31</f>
        <v>NBT</v>
      </c>
      <c r="Q31" s="10"/>
      <c r="R31" s="654" t="str">
        <f>CONCATENATE($O$9,"T")</f>
        <v>NBT</v>
      </c>
    </row>
    <row r="32" spans="7:22" ht="15.75" x14ac:dyDescent="0.25">
      <c r="J32" s="17" t="s">
        <v>330</v>
      </c>
      <c r="K32" s="9"/>
      <c r="L32" s="276" t="str">
        <f>CONCATENATE($R$9,"T")</f>
        <v>EBT</v>
      </c>
      <c r="M32" s="471" t="str">
        <f>L32</f>
        <v>EBT</v>
      </c>
      <c r="N32" s="9"/>
      <c r="O32" s="890"/>
      <c r="P32" s="276" t="str">
        <f>R32</f>
        <v>SBT</v>
      </c>
      <c r="Q32" s="9"/>
      <c r="R32" s="662" t="str">
        <f>CONCATENATE($U$9,"T")</f>
        <v>SBT</v>
      </c>
    </row>
    <row r="33" spans="2:30" ht="15.75" x14ac:dyDescent="0.25">
      <c r="J33" s="17" t="s">
        <v>331</v>
      </c>
      <c r="K33" s="1276">
        <v>0</v>
      </c>
      <c r="L33" s="14"/>
      <c r="M33" s="471" t="str">
        <f>CONCATENATE($L$9,"R")</f>
        <v>0R</v>
      </c>
      <c r="N33" s="9"/>
      <c r="O33" s="890"/>
      <c r="P33" s="15" t="str">
        <f>CONCATENATE($O$9,"R")</f>
        <v>NBR</v>
      </c>
      <c r="Q33" s="9"/>
      <c r="R33" s="662" t="str">
        <f>CONCATENATE($O$9,"R")</f>
        <v>NBR</v>
      </c>
    </row>
    <row r="34" spans="2:30" ht="16.5" thickBot="1" x14ac:dyDescent="0.3">
      <c r="J34" s="17" t="s">
        <v>332</v>
      </c>
      <c r="K34" s="9"/>
      <c r="L34" s="276" t="str">
        <f>CONCATENATE($R$9,"R")</f>
        <v>EBR</v>
      </c>
      <c r="M34" s="471" t="str">
        <f>CONCATENATE($R$9,"R")</f>
        <v>EBR</v>
      </c>
      <c r="N34" s="9"/>
      <c r="O34" s="890"/>
      <c r="P34" s="662" t="str">
        <f>CONCATENATE($U$9,"R")</f>
        <v>SBR</v>
      </c>
      <c r="Q34" s="1146">
        <v>0</v>
      </c>
      <c r="R34" s="570"/>
      <c r="S34" s="15"/>
    </row>
    <row r="35" spans="2:30" ht="16.5" thickBot="1" x14ac:dyDescent="0.3">
      <c r="D35" s="461" t="s">
        <v>333</v>
      </c>
      <c r="E35" s="1148">
        <f>ROUND(22/14*E10,0)</f>
        <v>0</v>
      </c>
      <c r="J35" s="17" t="s">
        <v>334</v>
      </c>
      <c r="K35" s="9"/>
      <c r="L35" s="276" t="str">
        <f>CONCATENATE($L$9,"L")</f>
        <v>0L</v>
      </c>
      <c r="M35" s="15"/>
      <c r="N35" s="1149"/>
      <c r="O35" s="1149"/>
      <c r="P35" s="15"/>
      <c r="Q35" s="1146">
        <v>0</v>
      </c>
      <c r="R35" s="570"/>
      <c r="W35" s="180"/>
    </row>
    <row r="36" spans="2:30" ht="18" customHeight="1" x14ac:dyDescent="0.25">
      <c r="C36" s="720"/>
      <c r="J36" s="17" t="s">
        <v>335</v>
      </c>
      <c r="K36" s="1276">
        <v>0</v>
      </c>
      <c r="L36" s="15"/>
      <c r="M36" s="15"/>
      <c r="N36" s="1149"/>
      <c r="O36" s="1149"/>
      <c r="P36" s="15"/>
      <c r="Q36" s="9"/>
      <c r="R36" s="662" t="str">
        <f>CONCATENATE($U$9,"L")</f>
        <v>SBL</v>
      </c>
    </row>
    <row r="37" spans="2:30" ht="15.75" x14ac:dyDescent="0.25">
      <c r="J37" s="17" t="s">
        <v>713</v>
      </c>
      <c r="K37" s="9"/>
      <c r="L37" s="15" t="str">
        <f>CONCATENATE($O$9,"R")</f>
        <v>NBR</v>
      </c>
      <c r="M37" s="15"/>
      <c r="N37" s="1149"/>
      <c r="O37" s="1149"/>
      <c r="P37" s="15"/>
      <c r="Q37" s="9"/>
      <c r="R37" s="662" t="str">
        <f>CONCATENATE($L$9,"R")</f>
        <v>0R</v>
      </c>
    </row>
    <row r="38" spans="2:30" ht="16.5" thickBot="1" x14ac:dyDescent="0.3">
      <c r="B38" s="1792"/>
      <c r="C38" s="1792"/>
      <c r="D38" s="1792"/>
      <c r="E38" s="1792"/>
      <c r="F38" s="1792"/>
      <c r="G38" s="1792"/>
      <c r="H38" s="1792"/>
      <c r="J38" s="19" t="s">
        <v>714</v>
      </c>
      <c r="K38" s="11"/>
      <c r="L38" s="1150" t="str">
        <f>CONCATENATE($O$9,"L")</f>
        <v>NBL</v>
      </c>
      <c r="M38" s="1150"/>
      <c r="N38" s="1151"/>
      <c r="O38" s="1151"/>
      <c r="P38" s="1150"/>
      <c r="Q38" s="11"/>
      <c r="R38" s="665" t="str">
        <f>CONCATENATE($L$9,"L")</f>
        <v>0L</v>
      </c>
    </row>
    <row r="39" spans="2:30" ht="19.5" thickBot="1" x14ac:dyDescent="0.35">
      <c r="B39" s="27"/>
      <c r="C39" s="195"/>
      <c r="D39" s="27"/>
      <c r="E39" s="18"/>
      <c r="F39" s="18"/>
      <c r="G39" s="18"/>
      <c r="H39" s="18"/>
      <c r="M39" t="s">
        <v>338</v>
      </c>
      <c r="N39" s="27" t="s">
        <v>339</v>
      </c>
      <c r="O39" s="27" t="s">
        <v>340</v>
      </c>
    </row>
    <row r="40" spans="2:30" ht="18.75" x14ac:dyDescent="0.3">
      <c r="B40" s="27"/>
      <c r="C40" s="195"/>
      <c r="D40" s="27"/>
      <c r="E40" s="18"/>
      <c r="F40" s="18"/>
      <c r="G40" s="18"/>
      <c r="H40" s="18"/>
      <c r="J40" s="560" t="s">
        <v>341</v>
      </c>
      <c r="K40" s="731" t="e">
        <f>L13+M13</f>
        <v>#DIV/0!</v>
      </c>
      <c r="L40" s="731"/>
      <c r="M40" s="731"/>
      <c r="N40" s="731" t="e">
        <f>L13+N13+IF(N33=0,M13*N49,0)</f>
        <v>#DIV/0!</v>
      </c>
      <c r="O40" s="731" t="e">
        <f>O13+Q13+IF(O33=0,0.5*P13*N49)</f>
        <v>#DIV/0!</v>
      </c>
      <c r="P40" s="731"/>
      <c r="Q40" s="731" t="e">
        <f>O13+IF(Q33=0,0.5*P13*Q49,0)</f>
        <v>#DIV/0!</v>
      </c>
      <c r="R40" s="678"/>
    </row>
    <row r="41" spans="2:30" ht="18.75" x14ac:dyDescent="0.3">
      <c r="B41" s="27"/>
      <c r="C41" s="195"/>
      <c r="D41" s="27"/>
      <c r="E41" s="18"/>
      <c r="F41" s="18"/>
      <c r="G41" s="18"/>
      <c r="H41" s="158"/>
      <c r="J41" s="1153" t="s">
        <v>1293</v>
      </c>
      <c r="K41" s="1154" t="e">
        <f>R13+0.5*P13+IF(K34=0,Q13,0)</f>
        <v>#DIV/0!</v>
      </c>
      <c r="L41" s="1154"/>
      <c r="M41" s="1154"/>
      <c r="N41" s="20" t="e">
        <f>R13+Q13+IF(N34=0,S13*N49,0)</f>
        <v>#DIV/0!</v>
      </c>
      <c r="O41" s="1154" t="e">
        <f>U13+T13+IF(O34=0,V13*O49,0)</f>
        <v>#DIV/0!</v>
      </c>
      <c r="P41" s="1154"/>
      <c r="Q41" s="1154" t="e">
        <f>S13+U13</f>
        <v>#DIV/0!</v>
      </c>
      <c r="R41" s="1155"/>
    </row>
    <row r="42" spans="2:30" ht="18.75" x14ac:dyDescent="0.3">
      <c r="B42" s="27"/>
      <c r="C42" s="195"/>
      <c r="D42" s="27"/>
      <c r="E42" s="18"/>
      <c r="F42" s="18"/>
      <c r="G42" s="18"/>
      <c r="H42" s="158"/>
      <c r="J42" s="1156" t="s">
        <v>1294</v>
      </c>
      <c r="K42" s="1163" t="e">
        <f>(D40*E40*0.5*M13+D40*K13)*K49</f>
        <v>#DIV/0!</v>
      </c>
      <c r="L42" s="342"/>
      <c r="M42" s="342"/>
      <c r="N42" s="342">
        <f>IF(N33=0,0,M13*N49)</f>
        <v>0</v>
      </c>
      <c r="O42" s="342">
        <f>IF(O33=0,0,0.5*P13*O49)</f>
        <v>0</v>
      </c>
      <c r="P42" s="342"/>
      <c r="Q42" s="342">
        <f>IF(Q33=0,0,0.5*P13*Q49)</f>
        <v>0</v>
      </c>
      <c r="R42" s="1157"/>
    </row>
    <row r="43" spans="2:30" ht="20.25" customHeight="1" x14ac:dyDescent="0.25">
      <c r="B43" s="1158"/>
      <c r="C43" s="1159"/>
      <c r="D43" s="774" t="s">
        <v>715</v>
      </c>
      <c r="E43" s="1161"/>
      <c r="F43" s="1161"/>
      <c r="G43" s="1161"/>
      <c r="H43" s="1161"/>
      <c r="J43" s="1153" t="s">
        <v>344</v>
      </c>
      <c r="K43" s="1154">
        <f>IF(K34=0,0,Q13)</f>
        <v>0</v>
      </c>
      <c r="L43" s="1154"/>
      <c r="M43" s="1154"/>
      <c r="N43" s="1154">
        <f>IF(N34=0,0,S13*N49)</f>
        <v>0</v>
      </c>
      <c r="O43" s="1154">
        <f>IF(O34=0,0,V13*O49)</f>
        <v>0</v>
      </c>
      <c r="P43" s="1154"/>
      <c r="Q43" s="1162" t="e">
        <f>D40*F40*V13*Q49</f>
        <v>#DIV/0!</v>
      </c>
      <c r="R43" s="1155"/>
    </row>
    <row r="44" spans="2:30" x14ac:dyDescent="0.25">
      <c r="J44" s="1156" t="s">
        <v>345</v>
      </c>
      <c r="K44" s="342">
        <f>K10</f>
        <v>0</v>
      </c>
      <c r="L44" s="342"/>
      <c r="M44" s="342"/>
      <c r="N44" s="1163"/>
      <c r="O44" s="1163"/>
      <c r="P44" s="342"/>
      <c r="Q44" s="1163" t="e">
        <f>D40*G40*N13*Q50</f>
        <v>#DIV/0!</v>
      </c>
      <c r="R44" s="1157"/>
    </row>
    <row r="45" spans="2:30" ht="18.75" x14ac:dyDescent="0.3">
      <c r="B45" s="27"/>
      <c r="C45" s="195"/>
      <c r="D45" s="27"/>
      <c r="E45" s="18"/>
      <c r="F45" s="18"/>
      <c r="G45" s="18"/>
      <c r="H45" s="18"/>
      <c r="J45" s="1153" t="s">
        <v>346</v>
      </c>
      <c r="K45" s="1162" t="e">
        <f>(D40*H40*Q13)*K50</f>
        <v>#DIV/0!</v>
      </c>
      <c r="L45" s="1154"/>
      <c r="M45" s="1154"/>
      <c r="N45" s="1162"/>
      <c r="O45" s="1162"/>
      <c r="P45" s="1154"/>
      <c r="Q45" s="1154" t="e">
        <f>T13</f>
        <v>#DIV/0!</v>
      </c>
      <c r="R45" s="1155"/>
      <c r="V45" s="21"/>
      <c r="W45" s="22"/>
      <c r="X45" s="23"/>
      <c r="Y45" s="23"/>
      <c r="Z45" s="22"/>
      <c r="AA45" s="23"/>
      <c r="AB45" s="23"/>
      <c r="AC45" s="22"/>
      <c r="AD45" s="23"/>
    </row>
    <row r="46" spans="2:30" ht="18.75" x14ac:dyDescent="0.3">
      <c r="B46" s="27"/>
      <c r="C46" s="195"/>
      <c r="D46" s="27"/>
      <c r="E46" s="18"/>
      <c r="F46" s="18"/>
      <c r="G46" s="18"/>
      <c r="H46" s="18"/>
      <c r="J46" s="17" t="s">
        <v>348</v>
      </c>
      <c r="K46" s="20" t="e">
        <f>(T10+0.5*P13)*K49+IF(K38=0,N13*K50,0)</f>
        <v>#DIV/0!</v>
      </c>
      <c r="L46" s="20"/>
      <c r="M46" s="20"/>
      <c r="N46" s="504"/>
      <c r="O46" s="504"/>
      <c r="P46" s="20"/>
      <c r="Q46" s="20" t="e">
        <f>Q13+IF(Q38=0,K13,0)</f>
        <v>#DIV/0!</v>
      </c>
      <c r="R46" s="578"/>
      <c r="V46" s="21"/>
      <c r="W46" s="22"/>
      <c r="X46" s="23"/>
      <c r="Y46" s="23"/>
      <c r="Z46" s="22"/>
      <c r="AA46" s="23"/>
      <c r="AB46" s="23"/>
      <c r="AC46" s="22"/>
      <c r="AD46" s="23"/>
    </row>
    <row r="47" spans="2:30" ht="19.5" thickBot="1" x14ac:dyDescent="0.35">
      <c r="B47" s="27"/>
      <c r="C47" s="195"/>
      <c r="D47" s="27"/>
      <c r="E47" s="18"/>
      <c r="F47" s="18"/>
      <c r="G47" s="18"/>
      <c r="H47" s="158"/>
      <c r="J47" s="19" t="s">
        <v>350</v>
      </c>
      <c r="K47" s="671">
        <f>IF(K38=0,0,N13*K50)</f>
        <v>0</v>
      </c>
      <c r="L47" s="671">
        <v>0</v>
      </c>
      <c r="M47" s="671"/>
      <c r="N47" s="1164"/>
      <c r="O47" s="1164"/>
      <c r="P47" s="671"/>
      <c r="Q47" s="671">
        <f>IF(Q38=0,0,K13)</f>
        <v>0</v>
      </c>
      <c r="R47" s="679"/>
      <c r="W47" s="18"/>
      <c r="X47" s="18"/>
      <c r="Y47" s="18"/>
      <c r="Z47" s="18"/>
      <c r="AA47" s="18"/>
      <c r="AB47" s="18"/>
      <c r="AC47" s="18"/>
      <c r="AD47" s="18"/>
    </row>
    <row r="48" spans="2:30" ht="19.5" thickBot="1" x14ac:dyDescent="0.35">
      <c r="B48" s="27"/>
      <c r="C48" s="195"/>
      <c r="D48" s="27"/>
      <c r="E48" s="18"/>
      <c r="F48" s="18"/>
      <c r="G48" s="18"/>
      <c r="H48" s="158"/>
      <c r="J48" s="1166"/>
      <c r="K48" s="1688" t="str">
        <f>K28</f>
        <v>QRI LEG  ON 2-6</v>
      </c>
      <c r="L48" s="1689"/>
      <c r="M48" t="s">
        <v>338</v>
      </c>
      <c r="N48" s="27" t="s">
        <v>339</v>
      </c>
      <c r="O48" s="27" t="s">
        <v>340</v>
      </c>
      <c r="P48" s="1168"/>
      <c r="Q48" s="1688" t="s">
        <v>327</v>
      </c>
      <c r="R48" s="1689"/>
      <c r="T48" s="682"/>
      <c r="V48" s="802"/>
      <c r="W48" s="18"/>
      <c r="X48" s="18"/>
      <c r="Y48" s="18"/>
      <c r="Z48" s="24"/>
      <c r="AA48" s="18"/>
      <c r="AB48" s="18"/>
      <c r="AC48" s="18"/>
      <c r="AD48" s="18"/>
    </row>
    <row r="49" spans="2:30" ht="15.75" x14ac:dyDescent="0.25">
      <c r="B49" s="1158"/>
      <c r="C49" s="1159"/>
      <c r="D49" s="1160"/>
      <c r="E49" s="1161"/>
      <c r="F49" s="1161"/>
      <c r="G49" s="1161"/>
      <c r="H49" s="1161"/>
      <c r="J49" s="560" t="s">
        <v>1263</v>
      </c>
      <c r="K49" s="713">
        <v>1.18</v>
      </c>
      <c r="L49" s="713"/>
      <c r="M49" s="713"/>
      <c r="N49" s="713">
        <v>1.18</v>
      </c>
      <c r="O49" s="713">
        <v>1.18</v>
      </c>
      <c r="P49" s="713"/>
      <c r="Q49" s="713">
        <v>1.18</v>
      </c>
      <c r="R49" s="561"/>
      <c r="V49" s="802"/>
      <c r="W49" s="18"/>
      <c r="X49" s="18"/>
      <c r="Y49" s="18"/>
      <c r="Z49" s="24"/>
      <c r="AA49" s="18"/>
      <c r="AB49" s="18"/>
      <c r="AC49" s="18"/>
      <c r="AD49" s="18"/>
    </row>
    <row r="50" spans="2:30" ht="16.5" thickBot="1" x14ac:dyDescent="0.3">
      <c r="J50" s="19" t="s">
        <v>1238</v>
      </c>
      <c r="K50" s="718">
        <v>1.05</v>
      </c>
      <c r="L50" s="718"/>
      <c r="M50" s="718"/>
      <c r="N50" s="718">
        <v>1.05</v>
      </c>
      <c r="O50" s="718">
        <v>1.05</v>
      </c>
      <c r="P50" s="718"/>
      <c r="Q50" s="718">
        <v>1.05</v>
      </c>
      <c r="R50" s="666"/>
      <c r="V50" s="802"/>
      <c r="W50" s="24"/>
      <c r="X50" s="18"/>
      <c r="Y50" s="18"/>
      <c r="Z50" s="24"/>
      <c r="AA50" s="18"/>
      <c r="AB50" s="18"/>
      <c r="AC50" s="24"/>
      <c r="AD50" s="18"/>
    </row>
    <row r="51" spans="2:30" ht="15.75" thickBot="1" x14ac:dyDescent="0.3">
      <c r="K51" s="308"/>
      <c r="L51" s="308"/>
      <c r="M51" s="308"/>
      <c r="N51" s="308"/>
      <c r="O51" s="308"/>
      <c r="P51" s="308"/>
      <c r="Q51" s="308">
        <v>1.18</v>
      </c>
      <c r="R51" s="570"/>
      <c r="V51" s="803"/>
      <c r="W51" s="25"/>
      <c r="X51" s="25"/>
      <c r="Y51" s="25"/>
      <c r="Z51" s="25"/>
      <c r="AA51" s="25"/>
      <c r="AB51" s="25"/>
      <c r="AC51" s="25"/>
      <c r="AD51" s="25"/>
    </row>
    <row r="52" spans="2:30" x14ac:dyDescent="0.25">
      <c r="J52" s="560" t="s">
        <v>1295</v>
      </c>
      <c r="K52" s="712" t="e">
        <f>(K40/K31)/$P$26</f>
        <v>#DIV/0!</v>
      </c>
      <c r="L52" s="1171" t="e">
        <f>1-L53</f>
        <v>#DIV/0!</v>
      </c>
      <c r="M52" s="658"/>
      <c r="N52" s="712" t="e">
        <f t="shared" ref="N52:O53" si="5">N40/N31/$P$26</f>
        <v>#DIV/0!</v>
      </c>
      <c r="O52" s="712" t="e">
        <f t="shared" si="5"/>
        <v>#DIV/0!</v>
      </c>
      <c r="P52" s="658"/>
      <c r="Q52" s="712" t="e">
        <f>(Q40/Q31)/$P$26</f>
        <v>#DIV/0!</v>
      </c>
      <c r="R52" s="1172" t="e">
        <f>IF(Q52+Q57&gt;Q53,1,0)</f>
        <v>#DIV/0!</v>
      </c>
      <c r="V52" s="803"/>
      <c r="W52" s="26"/>
      <c r="X52" s="26"/>
      <c r="Y52" s="26"/>
      <c r="Z52" s="25"/>
      <c r="AA52" s="26"/>
      <c r="AB52" s="26"/>
      <c r="AC52" s="26"/>
      <c r="AD52" s="26"/>
    </row>
    <row r="53" spans="2:30" x14ac:dyDescent="0.25">
      <c r="J53" s="17" t="s">
        <v>1296</v>
      </c>
      <c r="K53" s="309" t="e">
        <f>(K41/K32)/$P$26</f>
        <v>#DIV/0!</v>
      </c>
      <c r="L53" s="1173" t="e">
        <f>IF(K53+K56&gt;K52,1,0)</f>
        <v>#DIV/0!</v>
      </c>
      <c r="M53" s="18"/>
      <c r="N53" s="309" t="e">
        <f t="shared" si="5"/>
        <v>#DIV/0!</v>
      </c>
      <c r="O53" s="309" t="e">
        <f t="shared" si="5"/>
        <v>#DIV/0!</v>
      </c>
      <c r="P53" s="18"/>
      <c r="Q53" s="309" t="e">
        <f>(Q41/Q32)/$P$26</f>
        <v>#DIV/0!</v>
      </c>
      <c r="R53" s="1174" t="e">
        <f>1-R52</f>
        <v>#DIV/0!</v>
      </c>
      <c r="T53" s="275"/>
      <c r="V53" s="803"/>
      <c r="W53" s="26"/>
      <c r="X53" s="26"/>
      <c r="Y53" s="26"/>
      <c r="Z53" s="25"/>
      <c r="AA53" s="26"/>
      <c r="AB53" s="26"/>
      <c r="AC53" s="26"/>
      <c r="AD53" s="26"/>
    </row>
    <row r="54" spans="2:30" x14ac:dyDescent="0.25">
      <c r="J54" s="1156" t="s">
        <v>1297</v>
      </c>
      <c r="K54" s="1235">
        <f>IF(K33=0,0,(K42/K33)/$P$26)</f>
        <v>0</v>
      </c>
      <c r="L54" s="1176"/>
      <c r="M54" s="1177"/>
      <c r="N54" s="1175">
        <f>IF(N33=0,0,N42/N33/$P$26)</f>
        <v>0</v>
      </c>
      <c r="O54" s="1175">
        <f>IF(O33=0,0,O42/O33/$P$26)</f>
        <v>0</v>
      </c>
      <c r="P54" s="1177"/>
      <c r="Q54" s="1175">
        <f>IF(Q33=0,0,(Q42/Q33)/$P$26)</f>
        <v>0</v>
      </c>
      <c r="R54" s="1199"/>
      <c r="T54" s="275"/>
      <c r="V54" s="803"/>
      <c r="W54" s="26"/>
      <c r="X54" s="26"/>
      <c r="Y54" s="26"/>
      <c r="Z54" s="25"/>
      <c r="AA54" s="26"/>
      <c r="AB54" s="26"/>
      <c r="AC54" s="26"/>
      <c r="AD54" s="26"/>
    </row>
    <row r="55" spans="2:30" ht="15.75" x14ac:dyDescent="0.25">
      <c r="D55" s="1277"/>
      <c r="J55" s="1153" t="s">
        <v>1298</v>
      </c>
      <c r="K55" s="1181">
        <f>IF(K34=0,0,(K43/K34)/$P$26)</f>
        <v>0</v>
      </c>
      <c r="L55" s="1180"/>
      <c r="M55" s="328"/>
      <c r="N55" s="1181">
        <f>IF(N34=0,0,N43/N34/$P$26)</f>
        <v>0</v>
      </c>
      <c r="O55" s="1181">
        <f>IF(O34=0,0,O43/O34/$P$26)</f>
        <v>0</v>
      </c>
      <c r="P55" s="328"/>
      <c r="Q55" s="1179">
        <f>IF(Q34=0,0,(Q43/Q34)/$P$26)</f>
        <v>0</v>
      </c>
      <c r="R55" s="1196"/>
      <c r="T55" s="275"/>
      <c r="V55" s="803"/>
      <c r="W55" s="26"/>
      <c r="X55" s="26"/>
      <c r="Y55" s="26"/>
      <c r="Z55" s="25"/>
      <c r="AA55" s="26"/>
      <c r="AB55" s="26"/>
      <c r="AC55" s="26"/>
      <c r="AD55" s="26"/>
    </row>
    <row r="56" spans="2:30" x14ac:dyDescent="0.25">
      <c r="J56" s="17" t="s">
        <v>1289</v>
      </c>
      <c r="K56" s="309">
        <f>IF(K35=0,0,(K44/K35)/$P$26)</f>
        <v>0</v>
      </c>
      <c r="L56" s="1173" t="e">
        <f>L53</f>
        <v>#DIV/0!</v>
      </c>
      <c r="M56" s="18"/>
      <c r="N56" s="789"/>
      <c r="O56" s="789"/>
      <c r="P56" s="18"/>
      <c r="Q56" s="715">
        <f>IF(Q35=0,0,(Q44/Q35)/$P$26)</f>
        <v>0</v>
      </c>
      <c r="R56" s="570"/>
      <c r="V56" s="803"/>
      <c r="W56" s="25"/>
      <c r="X56" s="25"/>
      <c r="Y56" s="25"/>
      <c r="Z56" s="25"/>
      <c r="AA56" s="25"/>
      <c r="AB56" s="25"/>
      <c r="AC56" s="25"/>
      <c r="AD56" s="25"/>
    </row>
    <row r="57" spans="2:30" x14ac:dyDescent="0.25">
      <c r="J57" s="1153" t="s">
        <v>1290</v>
      </c>
      <c r="K57" s="1179">
        <f>IF(K36=0,0,(K45/K36)/$P$26)</f>
        <v>0</v>
      </c>
      <c r="L57" s="328"/>
      <c r="M57" s="328"/>
      <c r="N57" s="789"/>
      <c r="O57" s="789"/>
      <c r="P57" s="328"/>
      <c r="Q57" s="1181">
        <f>IF(Q36=0,0,(Q45/Q36)/$P$26)</f>
        <v>0</v>
      </c>
      <c r="R57" s="1182" t="e">
        <f>R52</f>
        <v>#DIV/0!</v>
      </c>
      <c r="S57" s="23"/>
    </row>
    <row r="58" spans="2:30" x14ac:dyDescent="0.25">
      <c r="J58" s="17" t="s">
        <v>1291</v>
      </c>
      <c r="K58" s="309" t="e">
        <f>(K46/K37)/$P$26</f>
        <v>#DIV/0!</v>
      </c>
      <c r="L58" s="1173">
        <f>IF(K37=0,1,0)</f>
        <v>1</v>
      </c>
      <c r="M58" s="18"/>
      <c r="N58" s="789"/>
      <c r="O58" s="789"/>
      <c r="P58" s="18"/>
      <c r="Q58" s="309" t="e">
        <f>(Q46/Q37)/$P$26</f>
        <v>#DIV/0!</v>
      </c>
      <c r="R58" s="1174">
        <f>IF(Q38=0,1,0)</f>
        <v>1</v>
      </c>
      <c r="S58" s="18"/>
    </row>
    <row r="59" spans="2:30" ht="15.75" thickBot="1" x14ac:dyDescent="0.3">
      <c r="J59" s="19" t="s">
        <v>1292</v>
      </c>
      <c r="K59" s="717">
        <f>IF(K38=0,0,(K47/K38)/$P$26)</f>
        <v>0</v>
      </c>
      <c r="L59" s="1183">
        <f>1-L58</f>
        <v>0</v>
      </c>
      <c r="M59" s="663"/>
      <c r="N59" s="792"/>
      <c r="O59" s="792"/>
      <c r="P59" s="663"/>
      <c r="Q59" s="717">
        <f>IF(Q38=0,0,(Q47/Q38)/$P$26)</f>
        <v>0</v>
      </c>
      <c r="R59" s="1184">
        <f>1-R58</f>
        <v>0</v>
      </c>
      <c r="S59" s="18"/>
    </row>
    <row r="60" spans="2:30" ht="19.5" thickBot="1" x14ac:dyDescent="0.35">
      <c r="J60" s="19"/>
      <c r="K60" s="1270" t="s">
        <v>712</v>
      </c>
      <c r="L60" s="663"/>
      <c r="M60" t="s">
        <v>338</v>
      </c>
      <c r="N60" s="27">
        <v>26</v>
      </c>
      <c r="O60" s="27">
        <v>48</v>
      </c>
      <c r="P60" s="663"/>
      <c r="Q60" s="1270" t="s">
        <v>712</v>
      </c>
      <c r="R60" s="666"/>
      <c r="S60" s="24"/>
    </row>
    <row r="61" spans="2:30" ht="19.5" thickBot="1" x14ac:dyDescent="0.35">
      <c r="G61" s="1186"/>
      <c r="H61" s="572"/>
      <c r="J61" s="806" t="s">
        <v>426</v>
      </c>
      <c r="K61" s="1187" t="e">
        <f>MAX(K52,K53+K56,K55)+IF(K38&gt;0,K59,K58)</f>
        <v>#DIV/0!</v>
      </c>
      <c r="L61" s="1188"/>
      <c r="M61" s="1188"/>
      <c r="N61" s="1797" t="e">
        <f>MAX(N52,N53,N54,N55)+MAX(O52,O53,O54,O55)</f>
        <v>#DIV/0!</v>
      </c>
      <c r="O61" s="1797"/>
      <c r="P61" s="1188"/>
      <c r="Q61" s="1187" t="e">
        <f>MAX(Q53,Q57+Q52,Q57+Q54)+MAX(Q58,Q59)</f>
        <v>#DIV/0!</v>
      </c>
      <c r="R61" s="809"/>
      <c r="S61" s="18"/>
    </row>
    <row r="62" spans="2:30" ht="16.5" thickBot="1" x14ac:dyDescent="0.3">
      <c r="D62" s="1277"/>
      <c r="G62" s="1190"/>
      <c r="H62" s="572"/>
      <c r="J62" s="1800" t="s">
        <v>34</v>
      </c>
      <c r="K62" s="1801"/>
      <c r="L62" s="1801"/>
      <c r="M62" s="1801"/>
      <c r="N62" s="1801"/>
      <c r="O62" s="1801"/>
      <c r="P62" s="1801"/>
      <c r="Q62" s="1801"/>
      <c r="R62" s="1802"/>
      <c r="S62" s="18"/>
    </row>
    <row r="63" spans="2:30" x14ac:dyDescent="0.25">
      <c r="G63" s="1776"/>
      <c r="H63" s="1776"/>
      <c r="J63" s="591" t="s">
        <v>354</v>
      </c>
      <c r="K63" s="1191">
        <v>10</v>
      </c>
      <c r="L63" s="1191"/>
      <c r="M63" s="1191"/>
      <c r="N63" s="1191">
        <v>10</v>
      </c>
      <c r="O63" s="1191"/>
      <c r="P63" s="1191"/>
      <c r="Q63" s="1191">
        <v>10</v>
      </c>
      <c r="R63" s="811"/>
      <c r="S63" s="18"/>
    </row>
    <row r="64" spans="2:30" ht="15.75" thickBot="1" x14ac:dyDescent="0.3">
      <c r="J64" s="17" t="s">
        <v>111</v>
      </c>
      <c r="K64" s="20" t="e">
        <f>ROUND(0.2*IF(K61&gt;0.85-8.5/$E$12,$E$12,MAX($E$11,8.5/(0.85-K61))),0)*5</f>
        <v>#DIV/0!</v>
      </c>
      <c r="L64" s="18"/>
      <c r="M64" s="18"/>
      <c r="N64" s="20" t="e">
        <f>ROUND(0.2*IF(N61&gt;0.85-8.5/$E$12,$E$12,MAX($E$11,8.5/(0.85-N61))),0)*5</f>
        <v>#DIV/0!</v>
      </c>
      <c r="O64" s="18"/>
      <c r="P64" s="18"/>
      <c r="Q64" s="18" t="e">
        <f>ROUND(0.2*IF(Q61&gt;0.85-8.5/$E$12,$E$12,MAX($E$11,8.5/(0.85-Q61))),0)*5</f>
        <v>#DIV/0!</v>
      </c>
      <c r="R64" s="578"/>
      <c r="S64" s="18"/>
    </row>
    <row r="65" spans="4:30" ht="18" thickBot="1" x14ac:dyDescent="0.35">
      <c r="J65" s="1193" t="s">
        <v>1134</v>
      </c>
      <c r="K65" s="152"/>
      <c r="L65" s="1278"/>
      <c r="M65" s="1278"/>
      <c r="N65" s="152"/>
      <c r="O65" s="1279">
        <f>N65</f>
        <v>0</v>
      </c>
      <c r="P65" s="1278"/>
      <c r="Q65" s="152"/>
      <c r="R65" s="561"/>
      <c r="S65" s="26"/>
    </row>
    <row r="66" spans="4:30" ht="15.75" x14ac:dyDescent="0.25">
      <c r="J66" s="560" t="s">
        <v>357</v>
      </c>
      <c r="K66" s="1280">
        <f>K67+K70+5</f>
        <v>5</v>
      </c>
      <c r="L66" s="731"/>
      <c r="M66" s="731"/>
      <c r="N66" s="1316"/>
      <c r="O66" s="1280">
        <f>N65-N66-10</f>
        <v>-10</v>
      </c>
      <c r="P66" s="731"/>
      <c r="Q66" s="1316"/>
      <c r="R66" s="561"/>
      <c r="S66" s="26"/>
    </row>
    <row r="67" spans="4:30" ht="15.75" x14ac:dyDescent="0.25">
      <c r="J67" s="1153" t="s">
        <v>1299</v>
      </c>
      <c r="K67" s="1205"/>
      <c r="L67" s="1281"/>
      <c r="M67" s="1281"/>
      <c r="N67" s="1282">
        <f>N66</f>
        <v>0</v>
      </c>
      <c r="O67" s="1282">
        <f>O66</f>
        <v>-10</v>
      </c>
      <c r="P67" s="1281"/>
      <c r="Q67" s="1194">
        <f>Q66+5+Q71</f>
        <v>5</v>
      </c>
      <c r="R67" s="1196"/>
      <c r="S67" s="25"/>
      <c r="T67" s="399"/>
    </row>
    <row r="68" spans="4:30" ht="16.5" thickBot="1" x14ac:dyDescent="0.3">
      <c r="J68" s="1156" t="s">
        <v>359</v>
      </c>
      <c r="K68" s="1317">
        <v>0</v>
      </c>
      <c r="L68" s="1284"/>
      <c r="M68" s="1284"/>
      <c r="N68" s="1285">
        <f>N66</f>
        <v>0</v>
      </c>
      <c r="O68" s="1285">
        <f>O66</f>
        <v>-10</v>
      </c>
      <c r="P68" s="1284"/>
      <c r="Q68" s="1282">
        <f>IF(Q33=0,0,Q66+5+IF(Q38=0,Q72,Q73))</f>
        <v>0</v>
      </c>
      <c r="R68" s="1199"/>
      <c r="T68" s="399"/>
      <c r="V68" s="275"/>
      <c r="X68" s="14"/>
      <c r="AA68" s="14"/>
      <c r="AD68" s="14"/>
    </row>
    <row r="69" spans="4:30" ht="16.5" thickBot="1" x14ac:dyDescent="0.3">
      <c r="D69" s="1286"/>
      <c r="G69" s="692" t="s">
        <v>1137</v>
      </c>
      <c r="H69" s="814"/>
      <c r="J69" s="1153" t="s">
        <v>360</v>
      </c>
      <c r="K69" s="1282">
        <f>IF(K34=0,0,K67+5+IF(K38=0,K72,K73))</f>
        <v>0</v>
      </c>
      <c r="L69" s="1281"/>
      <c r="M69" s="1281"/>
      <c r="N69" s="1282">
        <f>N66</f>
        <v>0</v>
      </c>
      <c r="O69" s="1282">
        <f>O66</f>
        <v>-10</v>
      </c>
      <c r="P69" s="1281"/>
      <c r="Q69" s="1287"/>
      <c r="R69" s="1196"/>
      <c r="S69" s="1798" t="s">
        <v>150</v>
      </c>
      <c r="T69" s="1799"/>
      <c r="X69" s="14"/>
      <c r="AA69" s="14"/>
      <c r="AD69" s="14"/>
    </row>
    <row r="70" spans="4:30" ht="16.5" thickBot="1" x14ac:dyDescent="0.3">
      <c r="G70" s="695" t="s">
        <v>116</v>
      </c>
      <c r="H70" s="817"/>
      <c r="J70" s="1156" t="s">
        <v>361</v>
      </c>
      <c r="K70" s="1318"/>
      <c r="L70" s="1284"/>
      <c r="M70" s="1284"/>
      <c r="N70" s="1288"/>
      <c r="O70" s="1288"/>
      <c r="P70" s="1284"/>
      <c r="Q70" s="1283"/>
      <c r="R70" s="1199"/>
      <c r="S70" s="1808"/>
      <c r="T70" s="1809"/>
      <c r="X70" s="14"/>
      <c r="AA70" s="14"/>
      <c r="AD70" s="14"/>
    </row>
    <row r="71" spans="4:30" ht="19.5" thickBot="1" x14ac:dyDescent="0.35">
      <c r="J71" s="1153" t="s">
        <v>362</v>
      </c>
      <c r="K71" s="1287">
        <v>0</v>
      </c>
      <c r="L71" s="1281"/>
      <c r="M71" s="1281"/>
      <c r="N71" s="1289"/>
      <c r="O71" s="1289"/>
      <c r="P71" s="1281"/>
      <c r="Q71" s="1257"/>
      <c r="R71" s="1196"/>
      <c r="S71" s="1779" t="e">
        <f>N19</f>
        <v>#DIV/0!</v>
      </c>
      <c r="T71" s="1805"/>
      <c r="X71" s="14"/>
      <c r="AA71" s="14"/>
      <c r="AD71" s="14"/>
    </row>
    <row r="72" spans="4:30" ht="15.75" x14ac:dyDescent="0.25">
      <c r="J72" s="1156" t="s">
        <v>363</v>
      </c>
      <c r="K72" s="1290">
        <f>IF(K38=0,K65-K66-10,K73+K70+5)</f>
        <v>-15</v>
      </c>
      <c r="L72" s="342"/>
      <c r="M72" s="342"/>
      <c r="N72" s="1291"/>
      <c r="O72" s="1163"/>
      <c r="P72" s="342"/>
      <c r="Q72" s="1197">
        <f>IF(Q38=0,Q65-Q67-10,Q73+Q71+5)</f>
        <v>-15</v>
      </c>
      <c r="R72" s="1199"/>
      <c r="T72" s="399"/>
    </row>
    <row r="73" spans="4:30" ht="16.5" thickBot="1" x14ac:dyDescent="0.3">
      <c r="J73" s="17" t="s">
        <v>364</v>
      </c>
      <c r="K73" s="853">
        <f>IF(K38=0,0,K65-K66-10)</f>
        <v>0</v>
      </c>
      <c r="L73" s="20"/>
      <c r="M73" s="20"/>
      <c r="N73" s="1222"/>
      <c r="O73" s="504"/>
      <c r="P73" s="20"/>
      <c r="Q73" s="1292">
        <f>IF(Q38=0,0,Q65-Q67-10)</f>
        <v>0</v>
      </c>
      <c r="R73" s="570"/>
    </row>
    <row r="74" spans="4:30" ht="15.75" x14ac:dyDescent="0.25">
      <c r="J74" s="1209" t="s">
        <v>357</v>
      </c>
      <c r="K74" s="1210" t="e">
        <f>$E$14*K66+(1-$E$14)*IF(L52=1,K52/K61*(K65-10),K75+K78+5)</f>
        <v>#DIV/0!</v>
      </c>
      <c r="L74" s="1293"/>
      <c r="M74" s="1293"/>
      <c r="N74" s="1210" t="e">
        <f>E14*N66+(1-E14)*(N65-10)*MAX(N52,N53,N54,N55)/N61</f>
        <v>#DIV/0!</v>
      </c>
      <c r="O74" s="1210" t="e">
        <f>N65-10-N74</f>
        <v>#DIV/0!</v>
      </c>
      <c r="P74" s="1293"/>
      <c r="Q74" s="1210" t="e">
        <f>$E$14*Q66+(1-$E$14)*IF(R52=1,Q52/Q61*(Q65-15),Q75+Q78+5)</f>
        <v>#DIV/0!</v>
      </c>
      <c r="R74" s="828"/>
    </row>
    <row r="75" spans="4:30" ht="15.75" x14ac:dyDescent="0.25">
      <c r="J75" s="1211" t="s">
        <v>358</v>
      </c>
      <c r="K75" s="1108" t="e">
        <f>E14*K67+(1-E14)*IF(L53=1,MAX(K53,K55)/K61*(K65-15),(K74-5)*K52/(K52+K56))</f>
        <v>#DIV/0!</v>
      </c>
      <c r="L75" s="1294"/>
      <c r="M75" s="1294"/>
      <c r="N75" s="1108" t="e">
        <f>N74</f>
        <v>#DIV/0!</v>
      </c>
      <c r="O75" s="1108" t="e">
        <f>O74</f>
        <v>#DIV/0!</v>
      </c>
      <c r="P75" s="1294"/>
      <c r="Q75" s="1108" t="e">
        <f>E14*Q67+(1-E14)*IF(R53=0,(Q74+Q79+5),Q53/Q61*(Q65-10))</f>
        <v>#DIV/0!</v>
      </c>
      <c r="R75" s="833"/>
    </row>
    <row r="76" spans="4:30" ht="16.5" thickBot="1" x14ac:dyDescent="0.3">
      <c r="J76" s="1213" t="s">
        <v>1301</v>
      </c>
      <c r="K76" s="1295"/>
      <c r="L76" s="1296"/>
      <c r="M76" s="1296"/>
      <c r="N76" s="1214" t="e">
        <f>N74</f>
        <v>#DIV/0!</v>
      </c>
      <c r="O76" s="1214" t="e">
        <f>O74</f>
        <v>#DIV/0!</v>
      </c>
      <c r="P76" s="1296"/>
      <c r="Q76" s="1214">
        <f>E14*Q68+(1-E14)*IF(Q33=0,0,Q74+IF(Q38=0,Q80,Q81)+5)</f>
        <v>0</v>
      </c>
      <c r="R76" s="1216"/>
    </row>
    <row r="77" spans="4:30" ht="16.5" thickBot="1" x14ac:dyDescent="0.3">
      <c r="G77" s="1806" t="s">
        <v>121</v>
      </c>
      <c r="H77" s="1807"/>
      <c r="J77" s="1217" t="s">
        <v>1300</v>
      </c>
      <c r="K77" s="1214">
        <f>E14*K69+(1-E14)*IF(K34=0,0,K75+IF(K38=0,K80,K81)+5)</f>
        <v>0</v>
      </c>
      <c r="L77" s="1298"/>
      <c r="M77" s="1298"/>
      <c r="N77" s="1220" t="e">
        <f>N74</f>
        <v>#DIV/0!</v>
      </c>
      <c r="O77" s="1220" t="e">
        <f>O74</f>
        <v>#DIV/0!</v>
      </c>
      <c r="P77" s="1298"/>
      <c r="Q77" s="1299">
        <v>0</v>
      </c>
      <c r="R77" s="1221"/>
    </row>
    <row r="78" spans="4:30" ht="15.75" x14ac:dyDescent="0.25">
      <c r="J78" s="1211" t="s">
        <v>361</v>
      </c>
      <c r="K78" s="1225" t="e">
        <f>E14*K70+(1-E14)*IF(L53=1,K56/K61*(K65-15),K74-K75-5)</f>
        <v>#DIV/0!</v>
      </c>
      <c r="L78" s="1300"/>
      <c r="M78" s="1300"/>
      <c r="N78" s="1301"/>
      <c r="O78" s="1301"/>
      <c r="P78" s="1300"/>
      <c r="Q78" s="1302">
        <v>0</v>
      </c>
      <c r="R78" s="833"/>
      <c r="T78" s="399"/>
    </row>
    <row r="79" spans="4:30" ht="15.75" x14ac:dyDescent="0.25">
      <c r="J79" s="1217" t="s">
        <v>362</v>
      </c>
      <c r="K79" s="1303"/>
      <c r="L79" s="1304"/>
      <c r="M79" s="1304"/>
      <c r="N79" s="1299"/>
      <c r="O79" s="1305"/>
      <c r="P79" s="1304"/>
      <c r="Q79" s="1220" t="e">
        <f>E14*Q71+(1-E14)*IF(R52=1,Q57/Q61*(Q65-15),Q75-Q74-5)</f>
        <v>#DIV/0!</v>
      </c>
      <c r="R79" s="1221"/>
    </row>
    <row r="80" spans="4:30" ht="15.75" x14ac:dyDescent="0.25">
      <c r="J80" s="1211" t="s">
        <v>363</v>
      </c>
      <c r="K80" s="1108" t="e">
        <f>E14*K72+(1-E14)*IF(K38=0,K58/K61*(K65-15),K81+5+K78)</f>
        <v>#DIV/0!</v>
      </c>
      <c r="L80" s="1306"/>
      <c r="M80" s="1300"/>
      <c r="N80" s="1307"/>
      <c r="O80" s="1307"/>
      <c r="P80" s="1308"/>
      <c r="Q80" s="1108" t="e">
        <f>E14*Q72+(1-E14)*IF(Q38=0,Q58/Q61*(Q65-15),Q79+Q81+5)</f>
        <v>#DIV/0!</v>
      </c>
      <c r="R80" s="1231"/>
    </row>
    <row r="81" spans="5:18" ht="16.5" thickBot="1" x14ac:dyDescent="0.3">
      <c r="J81" s="1232" t="s">
        <v>364</v>
      </c>
      <c r="K81" s="1309">
        <f>E14*K73+(1-E14)*IF(K38&gt;0,K59/K61*(K65-15),0)</f>
        <v>0</v>
      </c>
      <c r="L81" s="1310"/>
      <c r="M81" s="1310"/>
      <c r="N81" s="1311"/>
      <c r="O81" s="1311"/>
      <c r="P81" s="1310"/>
      <c r="Q81" s="1309">
        <f>E14*Q73+(1-E14)*(IF(Q38=0,0,Q59/Q61*(Q65-15)))</f>
        <v>0</v>
      </c>
      <c r="R81" s="835"/>
    </row>
    <row r="82" spans="5:18" x14ac:dyDescent="0.25">
      <c r="J82" s="17" t="s">
        <v>366</v>
      </c>
      <c r="K82" s="712" t="e">
        <f>K52/(K74/$K$65)</f>
        <v>#DIV/0!</v>
      </c>
      <c r="L82" s="658"/>
      <c r="M82" s="658"/>
      <c r="N82" s="886" t="e">
        <f t="shared" ref="N82:O85" si="6">N52/(N74/$N$65)</f>
        <v>#DIV/0!</v>
      </c>
      <c r="O82" s="886" t="e">
        <f t="shared" si="6"/>
        <v>#DIV/0!</v>
      </c>
      <c r="P82" s="658"/>
      <c r="Q82" s="712" t="e">
        <f>Q52/(Q74/$Q$65)</f>
        <v>#DIV/0!</v>
      </c>
      <c r="R82" s="561"/>
    </row>
    <row r="83" spans="5:18" x14ac:dyDescent="0.25">
      <c r="J83" s="1153" t="s">
        <v>1302</v>
      </c>
      <c r="K83" s="1181" t="e">
        <f>K53/(K75/$K$65)</f>
        <v>#DIV/0!</v>
      </c>
      <c r="L83" s="328"/>
      <c r="M83" s="328"/>
      <c r="N83" s="1233" t="e">
        <f t="shared" si="6"/>
        <v>#DIV/0!</v>
      </c>
      <c r="O83" s="1233" t="e">
        <f t="shared" si="6"/>
        <v>#DIV/0!</v>
      </c>
      <c r="P83" s="328"/>
      <c r="Q83" s="1181" t="e">
        <f>Q53/(Q75/$Q$65)</f>
        <v>#DIV/0!</v>
      </c>
      <c r="R83" s="1196"/>
    </row>
    <row r="84" spans="5:18" x14ac:dyDescent="0.25">
      <c r="J84" s="1156" t="s">
        <v>1303</v>
      </c>
      <c r="K84" s="1235">
        <v>0</v>
      </c>
      <c r="L84" s="1177"/>
      <c r="M84" s="1177"/>
      <c r="N84" s="1234" t="e">
        <f t="shared" si="6"/>
        <v>#DIV/0!</v>
      </c>
      <c r="O84" s="1234" t="e">
        <f t="shared" si="6"/>
        <v>#DIV/0!</v>
      </c>
      <c r="P84" s="1177"/>
      <c r="Q84" s="1175">
        <f>IF(Q33=0,0,Q54/(Q76/$Q$65))</f>
        <v>0</v>
      </c>
      <c r="R84" s="1199"/>
    </row>
    <row r="85" spans="5:18" x14ac:dyDescent="0.25">
      <c r="J85" s="1153" t="s">
        <v>1304</v>
      </c>
      <c r="K85" s="1181">
        <f>IF(K34=0,0,K55/(K77/K65))</f>
        <v>0</v>
      </c>
      <c r="L85" s="328"/>
      <c r="M85" s="328"/>
      <c r="N85" s="1233" t="e">
        <f t="shared" si="6"/>
        <v>#DIV/0!</v>
      </c>
      <c r="O85" s="1233" t="e">
        <f t="shared" si="6"/>
        <v>#DIV/0!</v>
      </c>
      <c r="P85" s="328"/>
      <c r="Q85" s="1179"/>
      <c r="R85" s="1196"/>
    </row>
    <row r="86" spans="5:18" x14ac:dyDescent="0.25">
      <c r="J86" s="1156" t="s">
        <v>370</v>
      </c>
      <c r="K86" s="1175" t="e">
        <f>K56/(K78/K65)</f>
        <v>#DIV/0!</v>
      </c>
      <c r="L86" s="1177"/>
      <c r="M86" s="1177"/>
      <c r="N86" s="1236"/>
      <c r="O86" s="1202"/>
      <c r="P86" s="1177"/>
      <c r="Q86" s="1235"/>
      <c r="R86" s="1199"/>
    </row>
    <row r="87" spans="5:18" x14ac:dyDescent="0.25">
      <c r="J87" s="1153" t="s">
        <v>371</v>
      </c>
      <c r="K87" s="1179">
        <v>0</v>
      </c>
      <c r="L87" s="328"/>
      <c r="M87" s="328"/>
      <c r="N87" s="1237"/>
      <c r="O87" s="1200"/>
      <c r="P87" s="328"/>
      <c r="Q87" s="1181" t="e">
        <f>Q57/(Q79/$Q$65)</f>
        <v>#DIV/0!</v>
      </c>
      <c r="R87" s="1196"/>
    </row>
    <row r="88" spans="5:18" x14ac:dyDescent="0.25">
      <c r="J88" s="1156" t="s">
        <v>372</v>
      </c>
      <c r="K88" s="309" t="e">
        <f>K58/(K80/$K$65)</f>
        <v>#DIV/0!</v>
      </c>
      <c r="L88" s="18"/>
      <c r="M88" s="18"/>
      <c r="N88" s="1238"/>
      <c r="O88" s="659"/>
      <c r="P88" s="18"/>
      <c r="Q88" s="309" t="e">
        <f>Q58/(Q80/$Q$65)</f>
        <v>#DIV/0!</v>
      </c>
      <c r="R88" s="570"/>
    </row>
    <row r="89" spans="5:18" ht="15.75" thickBot="1" x14ac:dyDescent="0.3">
      <c r="J89" s="19" t="s">
        <v>373</v>
      </c>
      <c r="K89" s="717">
        <f>IF(K38=0,0,K59/(K81/$K$65))</f>
        <v>0</v>
      </c>
      <c r="L89" s="663"/>
      <c r="M89" s="663"/>
      <c r="N89" s="1239"/>
      <c r="O89" s="805"/>
      <c r="P89" s="663"/>
      <c r="Q89" s="717">
        <f>IF(Q38=0,0,Q59/(Q81/$Q$65))</f>
        <v>0</v>
      </c>
      <c r="R89" s="666"/>
    </row>
    <row r="90" spans="5:18" ht="15.75" thickBot="1" x14ac:dyDescent="0.3">
      <c r="J90" s="17" t="s">
        <v>374</v>
      </c>
      <c r="K90" s="712">
        <v>1</v>
      </c>
      <c r="L90" s="658"/>
      <c r="M90" s="658"/>
      <c r="N90" s="712" t="e">
        <f>MAX(0,(1-VLOOKUP($E$15,$E$92:$F$97,2,FALSE)*N74/$N$65)/(1-N74/$N$65))</f>
        <v>#N/A</v>
      </c>
      <c r="O90" s="712">
        <v>1</v>
      </c>
      <c r="P90" s="658"/>
      <c r="Q90" s="712">
        <v>1</v>
      </c>
      <c r="R90" s="561"/>
    </row>
    <row r="91" spans="5:18" x14ac:dyDescent="0.25">
      <c r="E91" s="315" t="s">
        <v>946</v>
      </c>
      <c r="F91" s="316" t="s">
        <v>948</v>
      </c>
      <c r="J91" s="1153" t="s">
        <v>1305</v>
      </c>
      <c r="K91" s="1181" t="e">
        <f>MAX(0,(1-VLOOKUP($E$15,$E$92:$F$97,2,FALSE)*K75/$K$65)/(1-K75/$K$65))</f>
        <v>#N/A</v>
      </c>
      <c r="L91" s="328"/>
      <c r="M91" s="328"/>
      <c r="N91" s="1233">
        <v>1</v>
      </c>
      <c r="O91" s="1233">
        <v>1</v>
      </c>
      <c r="P91" s="328"/>
      <c r="Q91" s="1181">
        <v>1</v>
      </c>
      <c r="R91" s="1196"/>
    </row>
    <row r="92" spans="5:18" x14ac:dyDescent="0.25">
      <c r="E92" s="317">
        <v>1</v>
      </c>
      <c r="F92" s="318">
        <v>0.33</v>
      </c>
      <c r="J92" s="1156" t="s">
        <v>1306</v>
      </c>
      <c r="K92" s="1235">
        <v>0</v>
      </c>
      <c r="L92" s="1177"/>
      <c r="M92" s="1177"/>
      <c r="N92" s="309" t="e">
        <f>MAX(0,(1-VLOOKUP($E$15,$E$92:$F$97,2,FALSE)*N76/$N$65)/(1-N76/$N$65))</f>
        <v>#N/A</v>
      </c>
      <c r="O92" s="1234">
        <v>1</v>
      </c>
      <c r="P92" s="1177"/>
      <c r="Q92" s="1175">
        <v>1</v>
      </c>
      <c r="R92" s="1199"/>
    </row>
    <row r="93" spans="5:18" x14ac:dyDescent="0.25">
      <c r="E93" s="317">
        <v>2</v>
      </c>
      <c r="F93" s="318">
        <v>0.67</v>
      </c>
      <c r="J93" s="1153" t="s">
        <v>1307</v>
      </c>
      <c r="K93" s="1181" t="e">
        <f>MAX(0,(1-VLOOKUP($E$15,E94:F99,2,FALSE)*K77/$K$65)/(1-K77/$K$65))</f>
        <v>#N/A</v>
      </c>
      <c r="L93" s="328"/>
      <c r="M93" s="328"/>
      <c r="N93" s="1233">
        <v>1</v>
      </c>
      <c r="O93" s="1233">
        <v>1</v>
      </c>
      <c r="P93" s="328"/>
      <c r="Q93" s="1179"/>
      <c r="R93" s="1196"/>
    </row>
    <row r="94" spans="5:18" x14ac:dyDescent="0.25">
      <c r="E94" s="317">
        <v>3</v>
      </c>
      <c r="F94" s="318">
        <v>1</v>
      </c>
      <c r="J94" s="1156" t="s">
        <v>378</v>
      </c>
      <c r="K94" s="1175">
        <v>1</v>
      </c>
      <c r="L94" s="1177"/>
      <c r="M94" s="1177"/>
      <c r="N94" s="1236"/>
      <c r="O94" s="1202"/>
      <c r="P94" s="1177"/>
      <c r="Q94" s="1235"/>
      <c r="R94" s="1199"/>
    </row>
    <row r="95" spans="5:18" x14ac:dyDescent="0.25">
      <c r="E95" s="317">
        <v>4</v>
      </c>
      <c r="F95" s="318">
        <v>1.33</v>
      </c>
      <c r="J95" s="1153" t="s">
        <v>379</v>
      </c>
      <c r="K95" s="1179">
        <v>0</v>
      </c>
      <c r="L95" s="328"/>
      <c r="M95" s="328"/>
      <c r="N95" s="1237"/>
      <c r="O95" s="1200"/>
      <c r="P95" s="328"/>
      <c r="Q95" s="1181">
        <v>1</v>
      </c>
      <c r="R95" s="1196"/>
    </row>
    <row r="96" spans="5:18" x14ac:dyDescent="0.25">
      <c r="E96" s="317">
        <v>5</v>
      </c>
      <c r="F96" s="318">
        <v>1.67</v>
      </c>
      <c r="J96" s="1156" t="s">
        <v>380</v>
      </c>
      <c r="K96" s="309">
        <v>1</v>
      </c>
      <c r="L96" s="18"/>
      <c r="M96" s="18"/>
      <c r="N96" s="1238"/>
      <c r="O96" s="659"/>
      <c r="P96" s="18"/>
      <c r="Q96" s="309">
        <v>1</v>
      </c>
    </row>
    <row r="97" spans="5:22" ht="15.75" thickBot="1" x14ac:dyDescent="0.3">
      <c r="E97" s="330">
        <v>6</v>
      </c>
      <c r="F97" s="331">
        <v>2</v>
      </c>
      <c r="J97" s="17" t="s">
        <v>381</v>
      </c>
      <c r="K97" s="309">
        <v>1</v>
      </c>
      <c r="L97" s="18"/>
      <c r="M97" s="18"/>
      <c r="N97" s="1238"/>
      <c r="O97" s="659"/>
      <c r="P97" s="18"/>
      <c r="Q97" s="309">
        <v>1</v>
      </c>
      <c r="S97" s="1681"/>
      <c r="T97" s="1681"/>
      <c r="U97" s="1681"/>
    </row>
    <row r="98" spans="5:22" ht="15.75" thickBot="1" x14ac:dyDescent="0.3">
      <c r="J98" s="461"/>
      <c r="K98" s="1786" t="s">
        <v>326</v>
      </c>
      <c r="L98" s="1786"/>
      <c r="M98" s="227" t="s">
        <v>338</v>
      </c>
      <c r="N98" s="418">
        <v>26</v>
      </c>
      <c r="O98" s="1024">
        <v>48</v>
      </c>
      <c r="P98" s="1024"/>
      <c r="Q98" s="1245" t="str">
        <f>Q28</f>
        <v>QRI LEG  ON 4-8</v>
      </c>
      <c r="R98" s="526"/>
    </row>
    <row r="99" spans="5:22" x14ac:dyDescent="0.25">
      <c r="J99" s="560" t="s">
        <v>382</v>
      </c>
      <c r="K99" s="713" t="e">
        <f>K90*0.5*$K$65*(1-K74/$K$65)^2/(1-MIN(1,K82)*K74/K65)+225*(K82-1+SQRT((K82-1)^2+16*K82/(K40/K82)))</f>
        <v>#DIV/0!</v>
      </c>
      <c r="L99" s="713"/>
      <c r="M99" s="713"/>
      <c r="N99" s="713" t="e">
        <f>N90*0.5*N65*(1-N74/N65)^2/(1-N52)+225*(N82-1+SQRT((N82-1)^2+16*N82/(N40/N82)))</f>
        <v>#N/A</v>
      </c>
      <c r="O99" s="713" t="e">
        <f>O90*0.5*O65*(1-O74/O65)^2/(1-O52)+225*(O82-1+SQRT((O82-1)^2+16*O82/(O40/O82)))</f>
        <v>#DIV/0!</v>
      </c>
      <c r="P99" s="713"/>
      <c r="Q99" s="713" t="e">
        <f>Q90*0.5*$K$65*(1-Q74/$K$65)^2/(1-MIN(1,Q82)*Q74/Q65)+225*(Q82-1+SQRT((Q82-1)^2+16*Q82/(Q40/Q82)))</f>
        <v>#DIV/0!</v>
      </c>
      <c r="R99" s="561"/>
      <c r="S99" s="18"/>
      <c r="T99" s="18"/>
      <c r="U99" s="18"/>
      <c r="V99" s="18"/>
    </row>
    <row r="100" spans="5:22" x14ac:dyDescent="0.25">
      <c r="J100" s="17" t="s">
        <v>383</v>
      </c>
      <c r="K100" s="308" t="e">
        <f>K91*0.5*$K$65*(1-K75/$K$65)^2/(1-MIN(1,K83)*K75/K65)+225*(K83-1+SQRT((K83-1)^2+16*K83/(K41/K83)))</f>
        <v>#N/A</v>
      </c>
      <c r="L100" s="308"/>
      <c r="M100" s="308"/>
      <c r="N100" s="308" t="e">
        <f>N91*0.5*N65*(1-N75/N65)^2/(1-N53)+225*(N83-1+SQRT((N83-1)^2+16*N83/(N41/N83)))</f>
        <v>#DIV/0!</v>
      </c>
      <c r="O100" s="308" t="e">
        <f>O91*0.5*O65*(1-O75/O65)^2/(1-O53)+225*(O83-1+SQRT((O83-1)^2+16*O83/(O41/O83)))</f>
        <v>#DIV/0!</v>
      </c>
      <c r="P100" s="308"/>
      <c r="Q100" s="308" t="e">
        <f>Q91*0.5*$K$65*(1-Q75/$K$65)^2/(1-MIN(1,Q83)*Q75/Q65)+225*(Q83-1+SQRT((Q83-1)^2+16*Q83/(Q41/Q83)))</f>
        <v>#DIV/0!</v>
      </c>
      <c r="R100" s="570"/>
      <c r="S100" s="18"/>
      <c r="T100" s="18"/>
      <c r="U100" s="18"/>
      <c r="V100" s="18"/>
    </row>
    <row r="101" spans="5:22" x14ac:dyDescent="0.25">
      <c r="J101" s="1156" t="s">
        <v>1308</v>
      </c>
      <c r="K101" s="1249">
        <v>0</v>
      </c>
      <c r="L101" s="1246"/>
      <c r="M101" s="1246"/>
      <c r="N101" s="1246">
        <f>IF(N42=0,0,0.5*N92*N65*(1-N76/N65)^2/(1-N54)+225*(N84-1+SQRT((N84-1)^2+16*N84/(N42/N84))))</f>
        <v>0</v>
      </c>
      <c r="O101" s="1246">
        <f>IF(O42=0,0,0.5*O92*O65*(1-O76/O65)^2/(1-O54)+225*(O84-1+SQRT((O84-1)^2+16*O84/(O42/O84))))</f>
        <v>0</v>
      </c>
      <c r="P101" s="1246"/>
      <c r="Q101" s="1246">
        <f>IF(Q42=0,0,Q92*0.5*$Q$65*(1-Q76/$Q$65)^2/(1-MIN(1,Q84)*Q76/Q65)+225*(Q84-1+SQRT((Q84-1)^2+16*Q84/(Q42/Q84))))</f>
        <v>0</v>
      </c>
      <c r="R101" s="1199"/>
      <c r="S101" s="18"/>
      <c r="T101" s="18"/>
      <c r="U101" s="18"/>
      <c r="V101" s="18"/>
    </row>
    <row r="102" spans="5:22" x14ac:dyDescent="0.25">
      <c r="J102" s="1153" t="s">
        <v>1309</v>
      </c>
      <c r="K102" s="1248" t="e">
        <f>IF(K34=0,0,K93*0.5*$K$65*(1-K77/$K$65)^2/(1-MIN(1,K85)*K77/K65))+225*(K85-1+SQRT((K85-1)^2+16*K85/(K43/K85)))</f>
        <v>#DIV/0!</v>
      </c>
      <c r="L102" s="1248"/>
      <c r="M102" s="1248"/>
      <c r="N102" s="1248">
        <f>IF(N43=0,0,0.5*N93*N65*(1-N77/N65)^2/(1-N55)+225*(N85-1+SQRT((N85-1)^2+16*N85/(N43/N85))))</f>
        <v>0</v>
      </c>
      <c r="O102" s="1248">
        <f>IF(O43=0,0,0.5*O93*O65*(1-O77/O65)^2/(1-O55)+225*(O85-1+SQRT((O85-1)^2+16*O85/(O43/O85))))</f>
        <v>0</v>
      </c>
      <c r="P102" s="1248"/>
      <c r="Q102" s="1247"/>
      <c r="R102" s="1196"/>
      <c r="T102" s="18"/>
      <c r="U102" s="18"/>
      <c r="V102" s="18"/>
    </row>
    <row r="103" spans="5:22" x14ac:dyDescent="0.25">
      <c r="J103" s="1156" t="s">
        <v>386</v>
      </c>
      <c r="K103" s="1248">
        <f>IF(K35=0,0,K94*0.5*$Q$65*(1-K78/$K$65)^2/(1-MIN(1,K86)*K78/K65+225*(K86-1+SQRT((K86-1)^2+16*K86/(K44/K86)))))</f>
        <v>0</v>
      </c>
      <c r="L103" s="1246"/>
      <c r="M103" s="1246"/>
      <c r="N103" s="1249">
        <v>0</v>
      </c>
      <c r="O103" s="1249">
        <v>0</v>
      </c>
      <c r="P103" s="1246"/>
      <c r="Q103" s="1249"/>
      <c r="R103" s="1199"/>
      <c r="T103" s="18"/>
      <c r="U103" s="18"/>
      <c r="V103" s="18"/>
    </row>
    <row r="104" spans="5:22" x14ac:dyDescent="0.25">
      <c r="J104" s="1153" t="s">
        <v>387</v>
      </c>
      <c r="K104" s="1247">
        <v>0</v>
      </c>
      <c r="L104" s="1248"/>
      <c r="M104" s="1248"/>
      <c r="N104" s="1247">
        <v>0</v>
      </c>
      <c r="O104" s="1247">
        <v>0</v>
      </c>
      <c r="P104" s="1248"/>
      <c r="Q104" s="1248" t="e">
        <f>Q95*0.5*$Q$65*(1-Q79/$Q$65)^2/(1-MIN(1,Q87)*Q79/Q65)+225*(Q87-1+SQRT((Q87-1)^2+16*Q87/(Q45/Q87)))</f>
        <v>#DIV/0!</v>
      </c>
      <c r="R104" s="1196"/>
      <c r="S104" s="18"/>
      <c r="T104" s="18"/>
      <c r="U104" s="18"/>
      <c r="V104" s="18"/>
    </row>
    <row r="105" spans="5:22" x14ac:dyDescent="0.25">
      <c r="J105" s="1156" t="s">
        <v>388</v>
      </c>
      <c r="K105" s="1246" t="e">
        <f>K96*0.5*$K$65*(1-K80/$K$65)^2/(1-MIN(1,K88)*K80/K65)+225*(K88-1+SQRT((K88-1)^2+16*K88/(K46/K88)))</f>
        <v>#DIV/0!</v>
      </c>
      <c r="L105" s="1246"/>
      <c r="M105" s="1246"/>
      <c r="N105" s="1249">
        <v>0</v>
      </c>
      <c r="O105" s="1249">
        <v>0</v>
      </c>
      <c r="P105" s="1246"/>
      <c r="Q105" s="1246" t="e">
        <f>Q96*0.5*$K$65*(1-Q80/$K$65)^2/(1-MIN(1,Q88)*Q80/Q65)+225*(Q88-1+SQRT((Q88-1)^2+16*Q88/(Q46/Q88)))</f>
        <v>#DIV/0!</v>
      </c>
      <c r="R105" s="1199"/>
      <c r="S105" s="18"/>
      <c r="T105" s="18"/>
      <c r="U105" s="18"/>
      <c r="V105" s="18"/>
    </row>
    <row r="106" spans="5:22" ht="15.75" thickBot="1" x14ac:dyDescent="0.3">
      <c r="J106" s="19" t="s">
        <v>389</v>
      </c>
      <c r="K106" s="718">
        <f>IF(K38=0,0,K97*0.5*$K$65*(1-K81/$K$65)^2/(1-MIN(1,K89)*K81/K65)+225*(K89-1+SQRT((K89-1)^2+16*K89/(K47/K89))))</f>
        <v>0</v>
      </c>
      <c r="L106" s="718"/>
      <c r="M106" s="718"/>
      <c r="N106" s="800">
        <v>0</v>
      </c>
      <c r="O106" s="800">
        <v>0</v>
      </c>
      <c r="P106" s="718"/>
      <c r="Q106" s="718">
        <f>IF(Q38=0,0,Q97*0.5*$K$65*(1-Q81/$K$65)^2/(1-MIN(1,Q89)*Q81/Q65)+225*(Q89-1+SQRT((Q89-1)^2+16*Q89/(Q47/Q89))))</f>
        <v>0</v>
      </c>
      <c r="R106" s="666"/>
      <c r="S106" s="18"/>
      <c r="T106" s="18"/>
      <c r="U106" s="18"/>
      <c r="V106" s="18"/>
    </row>
    <row r="107" spans="5:22" ht="16.5" thickBot="1" x14ac:dyDescent="0.3">
      <c r="J107" s="19"/>
      <c r="K107" s="718"/>
      <c r="L107" s="718"/>
      <c r="M107" s="227" t="s">
        <v>338</v>
      </c>
      <c r="N107" s="424" t="s">
        <v>339</v>
      </c>
      <c r="O107" s="424" t="s">
        <v>340</v>
      </c>
      <c r="P107" s="718"/>
      <c r="Q107" s="718"/>
      <c r="R107" s="248"/>
      <c r="S107" s="18"/>
      <c r="T107" s="18"/>
      <c r="U107" s="18"/>
      <c r="V107" s="18"/>
    </row>
    <row r="108" spans="5:22" ht="19.5" thickBot="1" x14ac:dyDescent="0.35">
      <c r="J108" s="1250" t="s">
        <v>138</v>
      </c>
      <c r="K108" s="1312" t="e">
        <f>SUMPRODUCT(K99:K106,K40:K47)/SUM(K40:K47)</f>
        <v>#DIV/0!</v>
      </c>
      <c r="L108" s="1313"/>
      <c r="N108" s="1787" t="e">
        <f>SUMPRODUCT(N99:O102,N40:O43)/SUM(N40:O43)</f>
        <v>#N/A</v>
      </c>
      <c r="O108" s="1788"/>
      <c r="P108" s="1252"/>
      <c r="Q108" s="1251" t="e">
        <f>SUMPRODUCT(Q99:Q106,Q40:Q47)/SUM(Q40:Q47)</f>
        <v>#DIV/0!</v>
      </c>
      <c r="R108" s="1314"/>
      <c r="S108" s="624"/>
      <c r="T108" s="1789"/>
      <c r="U108" s="1789"/>
      <c r="V108" s="624"/>
    </row>
    <row r="109" spans="5:22" ht="15.75" thickBot="1" x14ac:dyDescent="0.3">
      <c r="K109" s="20"/>
      <c r="L109" s="308"/>
      <c r="M109" s="308"/>
      <c r="N109" s="20"/>
      <c r="O109" s="308"/>
      <c r="P109" s="308"/>
      <c r="Q109" s="308"/>
      <c r="R109" s="308"/>
    </row>
    <row r="110" spans="5:22" ht="15.75" thickBot="1" x14ac:dyDescent="0.3">
      <c r="J110" s="560"/>
      <c r="K110" s="1781" t="s">
        <v>326</v>
      </c>
      <c r="L110" s="1781"/>
      <c r="M110" s="658"/>
      <c r="N110" s="777" t="s">
        <v>100</v>
      </c>
      <c r="O110" s="658"/>
      <c r="P110" s="658"/>
      <c r="Q110" s="1254" t="str">
        <f>Q98</f>
        <v>QRI LEG  ON 4-8</v>
      </c>
      <c r="R110" s="561"/>
    </row>
    <row r="111" spans="5:22" x14ac:dyDescent="0.25">
      <c r="J111" s="560" t="s">
        <v>390</v>
      </c>
      <c r="K111" s="731" t="e">
        <f>2*25*K99*(K40/K82)/(3600*K31)</f>
        <v>#DIV/0!</v>
      </c>
      <c r="L111" s="731"/>
      <c r="M111" s="731"/>
      <c r="N111" s="731" t="e">
        <f>2*25*N99*(N40/N82)/(3600*N31)</f>
        <v>#N/A</v>
      </c>
      <c r="O111" s="731" t="e">
        <f>2*25*O99*(O40/O82)/(3600*O31)</f>
        <v>#DIV/0!</v>
      </c>
      <c r="P111" s="731"/>
      <c r="Q111" s="731" t="e">
        <f>2*25*Q99*(Q40/Q82)/(3600*Q31)</f>
        <v>#DIV/0!</v>
      </c>
      <c r="R111" s="561"/>
    </row>
    <row r="112" spans="5:22" x14ac:dyDescent="0.25">
      <c r="J112" s="17" t="s">
        <v>1239</v>
      </c>
      <c r="K112" s="20" t="e">
        <f>2*25*K100*(K41/K83)/(3600*K32)</f>
        <v>#N/A</v>
      </c>
      <c r="L112" s="20"/>
      <c r="M112" s="20"/>
      <c r="N112" s="20" t="e">
        <f>2*25*N100*(N41/N83)/(3600*N32)</f>
        <v>#DIV/0!</v>
      </c>
      <c r="O112" s="20" t="e">
        <f>2*25*O100*(O41/O83)/(3600*O32)</f>
        <v>#DIV/0!</v>
      </c>
      <c r="P112" s="20"/>
      <c r="Q112" s="20" t="e">
        <f>2*25*Q100*(Q41/Q83)/(3600*Q32)</f>
        <v>#DIV/0!</v>
      </c>
      <c r="R112" s="570"/>
    </row>
    <row r="113" spans="10:18" x14ac:dyDescent="0.25">
      <c r="J113" s="1156" t="s">
        <v>1240</v>
      </c>
      <c r="K113" s="1163">
        <v>0</v>
      </c>
      <c r="L113" s="342"/>
      <c r="M113" s="342"/>
      <c r="N113" s="342">
        <f>IF(N33=0,0,2*25*N101*(N42/N84)/(3600*N33))</f>
        <v>0</v>
      </c>
      <c r="O113" s="342">
        <f>IF(O33=0,0,2*25*O101*(O42/O84)/(3600*O33))</f>
        <v>0</v>
      </c>
      <c r="P113" s="342"/>
      <c r="Q113" s="342">
        <f>IF(Q33=0,0,2*25*Q101*(Q42/Q84)/(3600*Q33))</f>
        <v>0</v>
      </c>
      <c r="R113" s="1199"/>
    </row>
    <row r="114" spans="10:18" x14ac:dyDescent="0.25">
      <c r="J114" s="1153" t="s">
        <v>1241</v>
      </c>
      <c r="K114" s="1154">
        <f>IF(K34=0,0,2*25*K102*(K43/K85)/(3600*K34))</f>
        <v>0</v>
      </c>
      <c r="L114" s="1154"/>
      <c r="M114" s="1154"/>
      <c r="N114" s="1154">
        <f>IF(N34=0,0,2*25*N102*(N43/N85)/(3600*N34))</f>
        <v>0</v>
      </c>
      <c r="O114" s="1154">
        <f>IF(O34=0,0,2*25*O102*(O43/O85)/(3600*O34))</f>
        <v>0</v>
      </c>
      <c r="P114" s="1154"/>
      <c r="Q114" s="1162"/>
      <c r="R114" s="1196"/>
    </row>
    <row r="115" spans="10:18" x14ac:dyDescent="0.25">
      <c r="J115" s="17" t="s">
        <v>394</v>
      </c>
      <c r="K115" s="20" t="e">
        <f>2*25*K103*(K44/K86)/(3600*K35)</f>
        <v>#DIV/0!</v>
      </c>
      <c r="L115" s="20"/>
      <c r="M115" s="20"/>
      <c r="N115" s="504"/>
      <c r="O115" s="504"/>
      <c r="P115" s="20"/>
      <c r="Q115" s="504"/>
      <c r="R115" s="570"/>
    </row>
    <row r="116" spans="10:18" x14ac:dyDescent="0.25">
      <c r="J116" s="1153" t="s">
        <v>395</v>
      </c>
      <c r="K116" s="504">
        <v>0</v>
      </c>
      <c r="L116" s="1154"/>
      <c r="M116" s="1154"/>
      <c r="N116" s="1162"/>
      <c r="O116" s="1162"/>
      <c r="P116" s="1154"/>
      <c r="Q116" s="20" t="e">
        <f>2*25*Q104*(Q45/Q87)/(3600*Q36)</f>
        <v>#DIV/0!</v>
      </c>
      <c r="R116" s="1196"/>
    </row>
    <row r="117" spans="10:18" x14ac:dyDescent="0.25">
      <c r="J117" s="1156" t="s">
        <v>396</v>
      </c>
      <c r="K117" s="20" t="e">
        <f>2*25*K105*(K46/K88)/(3600*K37)</f>
        <v>#DIV/0!</v>
      </c>
      <c r="L117" s="342"/>
      <c r="M117" s="342"/>
      <c r="N117" s="1163"/>
      <c r="O117" s="1163"/>
      <c r="P117" s="342"/>
      <c r="Q117" s="342" t="e">
        <f>2*25*Q105*(Q46/Q88)/(3600*Q37)</f>
        <v>#DIV/0!</v>
      </c>
      <c r="R117" s="1199"/>
    </row>
    <row r="118" spans="10:18" ht="15.75" thickBot="1" x14ac:dyDescent="0.3">
      <c r="J118" s="19" t="s">
        <v>397</v>
      </c>
      <c r="K118" s="671">
        <f>IF(K38=0,0,2*25*K106*(K47/K89)/(3600*K38))</f>
        <v>0</v>
      </c>
      <c r="L118" s="671"/>
      <c r="M118" s="671"/>
      <c r="N118" s="1164"/>
      <c r="O118" s="1164"/>
      <c r="P118" s="671"/>
      <c r="Q118" s="671">
        <f>IF(Q38=0,0,2*25*Q106*(Q47/Q89)/(3600*Q38))</f>
        <v>0</v>
      </c>
      <c r="R118" s="666"/>
    </row>
  </sheetData>
  <sheetProtection algorithmName="SHA-512" hashValue="1bOTvSFuLdi3FqM/sDE/PQUJxz6IYJ73DdNHKuVuqN4VrCp3djD2VsUP/S11Xx/rc3AA9CxbodG7HwFqLfd/6w==" saltValue="baxjM2N8qFy6+0593qyt1Q==" spinCount="100000" sheet="1" objects="1" scenarios="1"/>
  <mergeCells count="31">
    <mergeCell ref="K98:L98"/>
    <mergeCell ref="N108:O108"/>
    <mergeCell ref="T108:U108"/>
    <mergeCell ref="K110:L110"/>
    <mergeCell ref="G13:H13"/>
    <mergeCell ref="G20:H20"/>
    <mergeCell ref="G21:H21"/>
    <mergeCell ref="L26:O26"/>
    <mergeCell ref="S97:U97"/>
    <mergeCell ref="S71:T71"/>
    <mergeCell ref="G77:H77"/>
    <mergeCell ref="Q28:R28"/>
    <mergeCell ref="B38:H38"/>
    <mergeCell ref="K48:L48"/>
    <mergeCell ref="Q48:R48"/>
    <mergeCell ref="S70:T70"/>
    <mergeCell ref="C3:E3"/>
    <mergeCell ref="J3:V3"/>
    <mergeCell ref="G6:I6"/>
    <mergeCell ref="N61:O61"/>
    <mergeCell ref="K28:L28"/>
    <mergeCell ref="N29:O29"/>
    <mergeCell ref="E5:I5"/>
    <mergeCell ref="J28:J30"/>
    <mergeCell ref="C15:D15"/>
    <mergeCell ref="S69:T69"/>
    <mergeCell ref="J62:R62"/>
    <mergeCell ref="G63:H63"/>
    <mergeCell ref="X6:Y6"/>
    <mergeCell ref="G7:H7"/>
    <mergeCell ref="X7:Y7"/>
  </mergeCells>
  <conditionalFormatting sqref="K99:K100 K102:K103 K105:K106">
    <cfRule type="colorScale" priority="9">
      <colorScale>
        <cfvo type="min"/>
        <cfvo type="percentile" val="50"/>
        <cfvo type="max"/>
        <color rgb="FF63BE7B"/>
        <color rgb="FFFFEB84"/>
        <color rgb="FFF8696B"/>
      </colorScale>
    </cfRule>
  </conditionalFormatting>
  <conditionalFormatting sqref="K99:K100 Q107 N99:O102 K105:K107">
    <cfRule type="colorScale" priority="19">
      <colorScale>
        <cfvo type="min"/>
        <cfvo type="percentile" val="50"/>
        <cfvo type="max"/>
        <color rgb="FF63BE7B"/>
        <color rgb="FFFFEB84"/>
        <color rgb="FFF8696B"/>
      </colorScale>
    </cfRule>
  </conditionalFormatting>
  <conditionalFormatting sqref="K102:K103">
    <cfRule type="colorScale" priority="10">
      <colorScale>
        <cfvo type="min"/>
        <cfvo type="percentile" val="50"/>
        <cfvo type="max"/>
        <color rgb="FF63BE7B"/>
        <color rgb="FFFFEB84"/>
        <color rgb="FFF8696B"/>
      </colorScale>
    </cfRule>
  </conditionalFormatting>
  <conditionalFormatting sqref="N109 K109">
    <cfRule type="colorScale" priority="18">
      <colorScale>
        <cfvo type="min"/>
        <cfvo type="percentile" val="50"/>
        <cfvo type="max"/>
        <color rgb="FF63BE7B"/>
        <color rgb="FFFFEB84"/>
        <color rgb="FFF8696B"/>
      </colorScale>
    </cfRule>
  </conditionalFormatting>
  <conditionalFormatting sqref="K61:N61 P61:Q61 K63:Q63">
    <cfRule type="containsText" dxfId="44" priority="21" operator="containsText" text="OVERCAP">
      <formula>NOT(ISERROR(SEARCH("OVERCAP",K61)))</formula>
    </cfRule>
  </conditionalFormatting>
  <conditionalFormatting sqref="K82:Q89">
    <cfRule type="cellIs" dxfId="43" priority="5" operator="greaterThan">
      <formula>1</formula>
    </cfRule>
  </conditionalFormatting>
  <conditionalFormatting sqref="K111:Q118">
    <cfRule type="cellIs" dxfId="42" priority="56" operator="greaterThan">
      <formula>$E$10</formula>
    </cfRule>
  </conditionalFormatting>
  <conditionalFormatting sqref="K16:V16">
    <cfRule type="colorScale" priority="17">
      <colorScale>
        <cfvo type="min"/>
        <cfvo type="percentile" val="50"/>
        <cfvo type="max"/>
        <color rgb="FF63BE7B"/>
        <color rgb="FFFFEB84"/>
        <color rgb="FFF8696B"/>
      </colorScale>
    </cfRule>
  </conditionalFormatting>
  <conditionalFormatting sqref="K18:V18">
    <cfRule type="cellIs" dxfId="41" priority="15" operator="equal">
      <formula>"F"</formula>
    </cfRule>
    <cfRule type="colorScale" priority="16">
      <colorScale>
        <cfvo type="min"/>
        <cfvo type="percentile" val="50"/>
        <cfvo type="max"/>
        <color rgb="FF63BE7B"/>
        <color rgb="FFFFEB84"/>
        <color rgb="FFF8696B"/>
      </colorScale>
    </cfRule>
  </conditionalFormatting>
  <conditionalFormatting sqref="O23:V23">
    <cfRule type="colorScale" priority="12">
      <colorScale>
        <cfvo type="min"/>
        <cfvo type="percentile" val="50"/>
        <cfvo type="max"/>
        <color rgb="FF63BE7B"/>
        <color rgb="FFFFEB84"/>
        <color rgb="FFF8696B"/>
      </colorScale>
    </cfRule>
  </conditionalFormatting>
  <conditionalFormatting sqref="Q64">
    <cfRule type="cellIs" dxfId="40" priority="13" operator="equal">
      <formula>0</formula>
    </cfRule>
    <cfRule type="cellIs" dxfId="39" priority="54" operator="greaterThan">
      <formula>$E$11</formula>
    </cfRule>
  </conditionalFormatting>
  <conditionalFormatting sqref="Q99:Q100">
    <cfRule type="colorScale" priority="3">
      <colorScale>
        <cfvo type="min"/>
        <cfvo type="percentile" val="50"/>
        <cfvo type="max"/>
        <color rgb="FF63BE7B"/>
        <color rgb="FFFFEB84"/>
        <color rgb="FFF8696B"/>
      </colorScale>
    </cfRule>
    <cfRule type="colorScale" priority="4">
      <colorScale>
        <cfvo type="min"/>
        <cfvo type="percentile" val="50"/>
        <cfvo type="max"/>
        <color rgb="FF63BE7B"/>
        <color rgb="FFFFEB84"/>
        <color rgb="FFF8696B"/>
      </colorScale>
    </cfRule>
  </conditionalFormatting>
  <conditionalFormatting sqref="Q101:Q104">
    <cfRule type="colorScale" priority="11">
      <colorScale>
        <cfvo type="min"/>
        <cfvo type="percentile" val="50"/>
        <cfvo type="max"/>
        <color rgb="FF63BE7B"/>
        <color rgb="FFFFEB84"/>
        <color rgb="FFF8696B"/>
      </colorScale>
    </cfRule>
  </conditionalFormatting>
  <conditionalFormatting sqref="Q105:Q106">
    <cfRule type="colorScale" priority="1">
      <colorScale>
        <cfvo type="min"/>
        <cfvo type="percentile" val="50"/>
        <cfvo type="max"/>
        <color rgb="FF63BE7B"/>
        <color rgb="FFFFEB84"/>
        <color rgb="FFF8696B"/>
      </colorScale>
    </cfRule>
    <cfRule type="colorScale" priority="2">
      <colorScale>
        <cfvo type="min"/>
        <cfvo type="percentile" val="50"/>
        <cfvo type="max"/>
        <color rgb="FF63BE7B"/>
        <color rgb="FFFFEB84"/>
        <color rgb="FFF8696B"/>
      </colorScale>
    </cfRule>
  </conditionalFormatting>
  <conditionalFormatting sqref="S99:V106">
    <cfRule type="colorScale" priority="6">
      <colorScale>
        <cfvo type="min"/>
        <cfvo type="percentile" val="50"/>
        <cfvo type="max"/>
        <color rgb="FF63BE7B"/>
        <color rgb="FFFFEB84"/>
        <color rgb="FFF8696B"/>
      </colorScale>
    </cfRule>
  </conditionalFormatting>
  <conditionalFormatting sqref="S104:V106 T102:V103 S99:V101">
    <cfRule type="colorScale" priority="7">
      <colorScale>
        <cfvo type="min"/>
        <cfvo type="percentile" val="50"/>
        <cfvo type="max"/>
        <color rgb="FF63BE7B"/>
        <color rgb="FFFFEB84"/>
        <color rgb="FFF8696B"/>
      </colorScale>
    </cfRule>
  </conditionalFormatting>
  <conditionalFormatting sqref="V20">
    <cfRule type="containsText" dxfId="38" priority="14" operator="containsText" text="YES">
      <formula>NOT(ISERROR(SEARCH("YES",V20)))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D118"/>
  <sheetViews>
    <sheetView topLeftCell="A2" workbookViewId="0">
      <selection activeCell="J23" sqref="J23"/>
    </sheetView>
  </sheetViews>
  <sheetFormatPr defaultColWidth="8.85546875" defaultRowHeight="15" x14ac:dyDescent="0.25"/>
  <cols>
    <col min="1" max="1" width="0.7109375" customWidth="1"/>
    <col min="2" max="2" width="1.7109375" customWidth="1"/>
    <col min="4" max="4" width="49.85546875" customWidth="1"/>
    <col min="5" max="5" width="11.42578125" customWidth="1"/>
    <col min="6" max="6" width="8.140625" customWidth="1"/>
    <col min="7" max="7" width="7.42578125" customWidth="1"/>
    <col min="8" max="8" width="10.140625" customWidth="1"/>
    <col min="9" max="9" width="13.42578125" customWidth="1"/>
    <col min="10" max="10" width="43.42578125" customWidth="1"/>
    <col min="11" max="11" width="25.28515625" bestFit="1" customWidth="1"/>
    <col min="13" max="13" width="10.28515625" customWidth="1"/>
    <col min="14" max="14" width="9.7109375" customWidth="1"/>
    <col min="15" max="15" width="11.28515625" customWidth="1"/>
    <col min="16" max="16" width="9.42578125" customWidth="1"/>
    <col min="17" max="17" width="16.85546875" customWidth="1"/>
    <col min="18" max="18" width="10.85546875" customWidth="1"/>
    <col min="20" max="20" width="10.140625" customWidth="1"/>
    <col min="21" max="21" width="12.14062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685" t="s">
        <v>0</v>
      </c>
      <c r="D3" s="1686"/>
      <c r="E3" s="1687"/>
      <c r="J3" s="1685" t="s">
        <v>1067</v>
      </c>
      <c r="K3" s="1686"/>
      <c r="L3" s="1686"/>
      <c r="M3" s="1686"/>
      <c r="N3" s="1686"/>
      <c r="O3" s="1686"/>
      <c r="P3" s="1686"/>
      <c r="Q3" s="1686"/>
      <c r="R3" s="1686"/>
      <c r="S3" s="1686"/>
      <c r="T3" s="1686"/>
      <c r="U3" s="1686"/>
      <c r="V3" s="1687"/>
    </row>
    <row r="4" spans="3:25" ht="5.25" customHeight="1" thickBot="1" x14ac:dyDescent="0.3"/>
    <row r="5" spans="3:25" ht="20.25" customHeight="1" thickBot="1" x14ac:dyDescent="0.3">
      <c r="C5" s="560" t="s">
        <v>1043</v>
      </c>
      <c r="D5" s="561"/>
      <c r="E5" s="1632">
        <f>'GLOBAL INPUTS'!F55</f>
        <v>0</v>
      </c>
      <c r="F5" s="1633"/>
      <c r="G5" s="1633"/>
      <c r="H5" s="1633"/>
      <c r="I5" s="1634"/>
    </row>
    <row r="6" spans="3:25" ht="16.5" thickBot="1" x14ac:dyDescent="0.3">
      <c r="C6" s="17" t="s">
        <v>1280</v>
      </c>
      <c r="D6" s="570"/>
      <c r="E6" s="571">
        <f>'GLOBAL INPUTS'!F56</f>
        <v>0</v>
      </c>
      <c r="F6" s="483"/>
      <c r="G6" s="1803"/>
      <c r="H6" s="1803"/>
      <c r="I6" s="1804"/>
      <c r="J6" s="566" t="s">
        <v>6</v>
      </c>
      <c r="K6" s="567">
        <v>2</v>
      </c>
      <c r="L6" s="567">
        <v>2</v>
      </c>
      <c r="M6" s="568">
        <v>2</v>
      </c>
      <c r="N6" s="569">
        <v>4</v>
      </c>
      <c r="O6" s="567">
        <v>4</v>
      </c>
      <c r="P6" s="568">
        <v>4</v>
      </c>
      <c r="Q6" s="569">
        <v>6</v>
      </c>
      <c r="R6" s="567">
        <v>6</v>
      </c>
      <c r="S6" s="568">
        <v>6</v>
      </c>
      <c r="T6" s="569">
        <v>8</v>
      </c>
      <c r="U6" s="567">
        <v>8</v>
      </c>
      <c r="V6" s="568">
        <v>8</v>
      </c>
      <c r="X6" s="1767"/>
      <c r="Y6" s="1767"/>
    </row>
    <row r="7" spans="3:25" ht="16.5" thickBot="1" x14ac:dyDescent="0.3">
      <c r="C7" s="17" t="s">
        <v>470</v>
      </c>
      <c r="D7" s="570"/>
      <c r="E7" s="891">
        <f>'GLOBAL INPUTS'!F58</f>
        <v>0</v>
      </c>
      <c r="F7" s="742"/>
      <c r="G7" s="1696"/>
      <c r="H7" s="1697"/>
      <c r="J7" s="573" t="s">
        <v>7</v>
      </c>
      <c r="K7" s="32">
        <v>4</v>
      </c>
      <c r="L7" s="32">
        <v>6</v>
      </c>
      <c r="M7" s="574">
        <v>8</v>
      </c>
      <c r="N7" s="575">
        <v>6</v>
      </c>
      <c r="O7" s="32">
        <v>8</v>
      </c>
      <c r="P7" s="574">
        <v>2</v>
      </c>
      <c r="Q7" s="575">
        <v>8</v>
      </c>
      <c r="R7" s="32">
        <v>2</v>
      </c>
      <c r="S7" s="574">
        <v>4</v>
      </c>
      <c r="T7" s="575">
        <v>2</v>
      </c>
      <c r="U7" s="32">
        <v>4</v>
      </c>
      <c r="V7" s="574">
        <v>6</v>
      </c>
      <c r="X7" s="1768"/>
      <c r="Y7" s="1768"/>
    </row>
    <row r="8" spans="3:25" ht="16.5" thickBot="1" x14ac:dyDescent="0.3">
      <c r="C8" s="17" t="s">
        <v>1002</v>
      </c>
      <c r="D8" s="570"/>
      <c r="E8" s="571">
        <f>'GLOBAL INPUTS'!F59</f>
        <v>0</v>
      </c>
      <c r="F8" s="742" t="s">
        <v>2</v>
      </c>
      <c r="J8" s="577" t="s">
        <v>8</v>
      </c>
      <c r="K8" s="18" t="s">
        <v>9</v>
      </c>
      <c r="L8" s="18" t="s">
        <v>10</v>
      </c>
      <c r="M8" s="578" t="s">
        <v>11</v>
      </c>
      <c r="N8" s="579" t="s">
        <v>9</v>
      </c>
      <c r="O8" s="18" t="s">
        <v>10</v>
      </c>
      <c r="P8" s="578" t="s">
        <v>11</v>
      </c>
      <c r="Q8" s="579" t="s">
        <v>9</v>
      </c>
      <c r="R8" s="18" t="s">
        <v>10</v>
      </c>
      <c r="S8" s="578" t="s">
        <v>11</v>
      </c>
      <c r="T8" s="579" t="s">
        <v>9</v>
      </c>
      <c r="U8" s="18" t="s">
        <v>10</v>
      </c>
      <c r="V8" s="578" t="s">
        <v>11</v>
      </c>
      <c r="X8" s="1"/>
      <c r="Y8" s="7"/>
    </row>
    <row r="9" spans="3:25" ht="16.5" thickBot="1" x14ac:dyDescent="0.3">
      <c r="C9" s="17" t="s">
        <v>1273</v>
      </c>
      <c r="D9" s="570"/>
      <c r="E9" s="571">
        <f>'GLOBAL INPUTS'!F68</f>
        <v>0</v>
      </c>
      <c r="F9" s="742"/>
      <c r="J9" s="587" t="s">
        <v>41</v>
      </c>
      <c r="K9" s="743"/>
      <c r="L9" s="744">
        <f>E6</f>
        <v>0</v>
      </c>
      <c r="M9" s="745"/>
      <c r="N9" s="746"/>
      <c r="O9" s="744" t="str">
        <f>'GLOBAL INPUTS'!N60</f>
        <v>NB</v>
      </c>
      <c r="P9" s="745"/>
      <c r="Q9" s="746"/>
      <c r="R9" s="744" t="str">
        <f>'GLOBAL INPUTS'!N63</f>
        <v>EB</v>
      </c>
      <c r="S9" s="745"/>
      <c r="T9" s="746"/>
      <c r="U9" s="744" t="str">
        <f>'GLOBAL INPUTS'!N66</f>
        <v>SB</v>
      </c>
      <c r="V9" s="747"/>
      <c r="X9" s="1"/>
      <c r="Y9" s="7"/>
    </row>
    <row r="10" spans="3:25" ht="16.5" thickBot="1" x14ac:dyDescent="0.3">
      <c r="C10" s="591" t="s">
        <v>1271</v>
      </c>
      <c r="D10" s="578"/>
      <c r="E10" s="571">
        <f>'GLOBAL INPUTS'!F60</f>
        <v>0</v>
      </c>
      <c r="F10" s="742" t="s">
        <v>3</v>
      </c>
      <c r="J10" s="1258" t="s">
        <v>1235</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X10" s="1"/>
      <c r="Y10" s="7"/>
    </row>
    <row r="11" spans="3:25" ht="16.5" thickBot="1" x14ac:dyDescent="0.3">
      <c r="C11" s="17" t="s">
        <v>1049</v>
      </c>
      <c r="D11" s="570"/>
      <c r="E11" s="571">
        <f>'GLOBAL INPUTS'!F63</f>
        <v>0</v>
      </c>
      <c r="F11" s="742" t="s">
        <v>708</v>
      </c>
      <c r="J11" s="587" t="s">
        <v>91</v>
      </c>
      <c r="K11" s="749">
        <f t="shared" ref="K11:V11" si="0">K10*$E$9</f>
        <v>0</v>
      </c>
      <c r="L11" s="749">
        <f t="shared" si="0"/>
        <v>0</v>
      </c>
      <c r="M11" s="749">
        <f t="shared" si="0"/>
        <v>0</v>
      </c>
      <c r="N11" s="749">
        <f t="shared" si="0"/>
        <v>0</v>
      </c>
      <c r="O11" s="749">
        <f t="shared" si="0"/>
        <v>0</v>
      </c>
      <c r="P11" s="749">
        <f t="shared" si="0"/>
        <v>0</v>
      </c>
      <c r="Q11" s="749">
        <f t="shared" si="0"/>
        <v>0</v>
      </c>
      <c r="R11" s="749">
        <f t="shared" si="0"/>
        <v>0</v>
      </c>
      <c r="S11" s="749">
        <f t="shared" si="0"/>
        <v>0</v>
      </c>
      <c r="T11" s="749">
        <f t="shared" si="0"/>
        <v>0</v>
      </c>
      <c r="U11" s="749">
        <f t="shared" si="0"/>
        <v>0</v>
      </c>
      <c r="V11" s="495">
        <f t="shared" si="0"/>
        <v>0</v>
      </c>
      <c r="X11" s="1"/>
      <c r="Y11" s="7"/>
    </row>
    <row r="12" spans="3:25" ht="15.75" x14ac:dyDescent="0.25">
      <c r="C12" s="17" t="s">
        <v>1050</v>
      </c>
      <c r="D12" s="570"/>
      <c r="E12" s="571">
        <f>'GLOBAL INPUTS'!F64</f>
        <v>0</v>
      </c>
      <c r="F12" s="742" t="s">
        <v>708</v>
      </c>
      <c r="J12" s="750" t="s">
        <v>31</v>
      </c>
      <c r="K12" s="1259" t="e">
        <f t="shared" ref="K12:V12" si="1">ROUND(K11/$E$7,0)</f>
        <v>#DIV/0!</v>
      </c>
      <c r="L12" s="595" t="e">
        <f t="shared" si="1"/>
        <v>#DIV/0!</v>
      </c>
      <c r="M12" s="595" t="e">
        <f t="shared" si="1"/>
        <v>#DIV/0!</v>
      </c>
      <c r="N12" s="595" t="e">
        <f t="shared" si="1"/>
        <v>#DIV/0!</v>
      </c>
      <c r="O12" s="595" t="e">
        <f t="shared" si="1"/>
        <v>#DIV/0!</v>
      </c>
      <c r="P12" s="595" t="e">
        <f t="shared" si="1"/>
        <v>#DIV/0!</v>
      </c>
      <c r="Q12" s="595" t="e">
        <f t="shared" si="1"/>
        <v>#DIV/0!</v>
      </c>
      <c r="R12" s="595" t="e">
        <f t="shared" si="1"/>
        <v>#DIV/0!</v>
      </c>
      <c r="S12" s="595" t="e">
        <f t="shared" si="1"/>
        <v>#DIV/0!</v>
      </c>
      <c r="T12" s="595" t="e">
        <f t="shared" si="1"/>
        <v>#DIV/0!</v>
      </c>
      <c r="U12" s="595" t="e">
        <f t="shared" si="1"/>
        <v>#DIV/0!</v>
      </c>
      <c r="V12" s="1260" t="e">
        <f t="shared" si="1"/>
        <v>#DIV/0!</v>
      </c>
      <c r="X12" s="1"/>
      <c r="Y12" s="7"/>
    </row>
    <row r="13" spans="3:25" ht="16.5" thickBot="1" x14ac:dyDescent="0.3">
      <c r="C13" s="17" t="s">
        <v>61</v>
      </c>
      <c r="D13" s="570"/>
      <c r="E13" s="571">
        <f>'GLOBAL INPUTS'!F65</f>
        <v>0</v>
      </c>
      <c r="F13" s="742" t="s">
        <v>1006</v>
      </c>
      <c r="G13" s="1681"/>
      <c r="H13" s="1681"/>
      <c r="J13" s="751" t="s">
        <v>57</v>
      </c>
      <c r="K13" s="1319" t="e">
        <f t="shared" ref="K13:V13" si="2">ROUND(K12*(1+$E$8/100),0)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1320" t="e">
        <f t="shared" si="2"/>
        <v>#DIV/0!</v>
      </c>
      <c r="X13" s="1"/>
      <c r="Y13" s="7"/>
    </row>
    <row r="14" spans="3:25" ht="16.5" thickBot="1" x14ac:dyDescent="0.3">
      <c r="C14" s="17" t="s">
        <v>1074</v>
      </c>
      <c r="D14" s="570"/>
      <c r="E14" s="571">
        <f>'GLOBAL INPUTS'!F66</f>
        <v>0</v>
      </c>
      <c r="F14" s="742"/>
      <c r="G14" s="14"/>
      <c r="J14" s="754" t="s">
        <v>1065</v>
      </c>
      <c r="K14" s="757" t="e">
        <f>N99+K103+Q105</f>
        <v>#DIV/0!</v>
      </c>
      <c r="L14" s="755" t="e">
        <f>K99+N99</f>
        <v>#N/A</v>
      </c>
      <c r="M14" s="756">
        <f>N101</f>
        <v>0</v>
      </c>
      <c r="N14" s="757" t="e">
        <f>Q103+K106</f>
        <v>#DIV/0!</v>
      </c>
      <c r="O14" s="755" t="e">
        <f>O99+Q99</f>
        <v>#DIV/0!</v>
      </c>
      <c r="P14" s="756" t="e">
        <f>Q99+O101</f>
        <v>#DIV/0!</v>
      </c>
      <c r="Q14" s="757" t="e">
        <f>O101+K102+Q105</f>
        <v>#DIV/0!</v>
      </c>
      <c r="R14" s="755" t="e">
        <f>N100+K100</f>
        <v>#N/A</v>
      </c>
      <c r="S14" s="756" t="e">
        <f>0.5*(K102+Q105)+0.5*N101</f>
        <v>#DIV/0!</v>
      </c>
      <c r="T14" s="757" t="e">
        <f>O102+K103+Q105+O100</f>
        <v>#N/A</v>
      </c>
      <c r="U14" s="755" t="e">
        <f>Q100+O100</f>
        <v>#DIV/0!</v>
      </c>
      <c r="V14" s="756" t="e">
        <f>K99+O102</f>
        <v>#N/A</v>
      </c>
      <c r="X14" s="1"/>
      <c r="Y14" s="1"/>
    </row>
    <row r="15" spans="3:25" x14ac:dyDescent="0.25">
      <c r="C15" s="17" t="str">
        <f>'GLOBAL INPUTS'!D67</f>
        <v xml:space="preserve">Coordination arrival type on major road (1=poor; 6=outstanding) </v>
      </c>
      <c r="D15" s="570"/>
      <c r="E15" s="1321">
        <f>'GLOBAL INPUTS'!F67</f>
        <v>0</v>
      </c>
      <c r="F15" s="13"/>
      <c r="J15" s="754" t="s">
        <v>1064</v>
      </c>
      <c r="K15" s="605" t="e">
        <f>E35/(1.47*E16)</f>
        <v>#DIV/0!</v>
      </c>
      <c r="L15" s="322"/>
      <c r="M15" s="604"/>
      <c r="N15" s="322" t="e">
        <f>(-2*E10+E35)/(1.47*E16)</f>
        <v>#DIV/0!</v>
      </c>
      <c r="O15" s="322"/>
      <c r="P15" s="604"/>
      <c r="Q15" s="322" t="e">
        <f>E35/(1.47*E16)</f>
        <v>#DIV/0!</v>
      </c>
      <c r="R15" s="322"/>
      <c r="S15" s="604"/>
      <c r="T15" s="322" t="e">
        <f>(2*E10+E35)/(1.47*E16)</f>
        <v>#DIV/0!</v>
      </c>
      <c r="U15" s="322"/>
      <c r="V15" s="604"/>
      <c r="X15" s="1"/>
      <c r="Y15" s="1"/>
    </row>
    <row r="16" spans="3:25" ht="16.5" thickBot="1" x14ac:dyDescent="0.3">
      <c r="C16" s="19" t="s">
        <v>1281</v>
      </c>
      <c r="D16" s="666"/>
      <c r="E16" s="919">
        <f>'GLOBAL INPUTS'!F57</f>
        <v>0</v>
      </c>
      <c r="F16" s="766" t="s">
        <v>1035</v>
      </c>
      <c r="J16" s="754" t="s">
        <v>1063</v>
      </c>
      <c r="K16" s="762" t="e">
        <f t="shared" ref="K16:V16" si="3">K14+K15</f>
        <v>#DIV/0!</v>
      </c>
      <c r="L16" s="760" t="e">
        <f t="shared" si="3"/>
        <v>#N/A</v>
      </c>
      <c r="M16" s="761">
        <f t="shared" si="3"/>
        <v>0</v>
      </c>
      <c r="N16" s="762" t="e">
        <f t="shared" si="3"/>
        <v>#DIV/0!</v>
      </c>
      <c r="O16" s="760" t="e">
        <f t="shared" si="3"/>
        <v>#DIV/0!</v>
      </c>
      <c r="P16" s="761" t="e">
        <f t="shared" si="3"/>
        <v>#DIV/0!</v>
      </c>
      <c r="Q16" s="762" t="e">
        <f t="shared" si="3"/>
        <v>#DIV/0!</v>
      </c>
      <c r="R16" s="760" t="e">
        <f t="shared" si="3"/>
        <v>#N/A</v>
      </c>
      <c r="S16" s="761" t="e">
        <f t="shared" si="3"/>
        <v>#DIV/0!</v>
      </c>
      <c r="T16" s="762" t="e">
        <f t="shared" si="3"/>
        <v>#N/A</v>
      </c>
      <c r="U16" s="760" t="e">
        <f t="shared" si="3"/>
        <v>#DIV/0!</v>
      </c>
      <c r="V16" s="761" t="e">
        <f t="shared" si="3"/>
        <v>#N/A</v>
      </c>
      <c r="X16" s="1"/>
      <c r="Y16" s="2"/>
    </row>
    <row r="17" spans="7:25" ht="16.5" thickBot="1" x14ac:dyDescent="0.3">
      <c r="J17" s="754" t="s">
        <v>1077</v>
      </c>
      <c r="K17" s="236"/>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c r="X17" s="1"/>
      <c r="Y17" s="1"/>
    </row>
    <row r="18" spans="7:25" ht="15.75" thickBot="1" x14ac:dyDescent="0.3">
      <c r="J18" s="763" t="s">
        <v>95</v>
      </c>
      <c r="K18" s="1046" t="e">
        <f>VLOOKUP(K16,$G$22:$H$27,2,TRUE)</f>
        <v>#DIV/0!</v>
      </c>
      <c r="L18" s="764" t="e">
        <f t="shared" ref="L18:V18" si="4">VLOOKUP(L16,$G$22:$H$27,2,TRUE)</f>
        <v>#N/A</v>
      </c>
      <c r="M18" s="764" t="str">
        <f t="shared" si="4"/>
        <v>A</v>
      </c>
      <c r="N18" s="764" t="e">
        <f t="shared" si="4"/>
        <v>#DIV/0!</v>
      </c>
      <c r="O18" s="764" t="e">
        <f t="shared" si="4"/>
        <v>#DIV/0!</v>
      </c>
      <c r="P18" s="764" t="e">
        <f t="shared" si="4"/>
        <v>#DIV/0!</v>
      </c>
      <c r="Q18" s="764" t="e">
        <f t="shared" si="4"/>
        <v>#DIV/0!</v>
      </c>
      <c r="R18" s="764" t="e">
        <f t="shared" si="4"/>
        <v>#N/A</v>
      </c>
      <c r="S18" s="764" t="e">
        <f t="shared" si="4"/>
        <v>#DIV/0!</v>
      </c>
      <c r="T18" s="764" t="e">
        <f t="shared" si="4"/>
        <v>#N/A</v>
      </c>
      <c r="U18" s="764" t="e">
        <f t="shared" si="4"/>
        <v>#DIV/0!</v>
      </c>
      <c r="V18" s="419" t="e">
        <f t="shared" si="4"/>
        <v>#N/A</v>
      </c>
      <c r="X18" s="1"/>
      <c r="Y18" s="1"/>
    </row>
    <row r="19" spans="7:25" ht="21.75" thickBot="1" x14ac:dyDescent="0.4">
      <c r="K19" s="767" t="s">
        <v>76</v>
      </c>
      <c r="L19" s="768"/>
      <c r="M19" s="769"/>
      <c r="N19" s="1134" t="e">
        <f>SUMPRODUCT(K14:V14,K13:V13)/SUM(K13:V13)</f>
        <v>#DIV/0!</v>
      </c>
      <c r="O19" s="1135" t="e">
        <f>VLOOKUP(N19,G22:H27,2,TRUE)</f>
        <v>#DIV/0!</v>
      </c>
      <c r="P19" s="616"/>
      <c r="Q19" s="767" t="s">
        <v>40</v>
      </c>
      <c r="R19" s="768"/>
      <c r="S19" s="768"/>
      <c r="T19" s="769"/>
      <c r="U19" s="621" t="e">
        <f>SUMPRODUCT(K13:V13,K16:V16)/SUM(K13:V13)</f>
        <v>#DIV/0!</v>
      </c>
      <c r="V19" s="622" t="e">
        <f>VLOOKUP(U19,G22:H27,2,TRUE)</f>
        <v>#DIV/0!</v>
      </c>
      <c r="X19" s="1"/>
      <c r="Y19" s="1"/>
    </row>
    <row r="20" spans="7:25" ht="19.5" thickBot="1" x14ac:dyDescent="0.35">
      <c r="G20" s="1706" t="s">
        <v>93</v>
      </c>
      <c r="H20" s="1707"/>
      <c r="K20" s="195"/>
      <c r="L20" s="195"/>
      <c r="M20" s="195"/>
      <c r="N20" s="195"/>
      <c r="P20" s="195"/>
      <c r="Q20" s="262" t="s">
        <v>323</v>
      </c>
      <c r="R20" s="263"/>
      <c r="S20" s="263"/>
      <c r="T20" s="263"/>
      <c r="U20" s="264"/>
      <c r="V20" s="773" t="e">
        <f>IF(MAX(N111,O112)&gt;E10,"YES","NO")</f>
        <v>#DIV/0!</v>
      </c>
    </row>
    <row r="21" spans="7:25" ht="19.5" thickBot="1" x14ac:dyDescent="0.35">
      <c r="G21" s="1708" t="s">
        <v>94</v>
      </c>
      <c r="H21" s="1709"/>
      <c r="J21" s="471"/>
      <c r="K21" s="27"/>
      <c r="L21" s="27"/>
      <c r="M21" s="27"/>
      <c r="N21" s="27"/>
      <c r="O21" s="195"/>
      <c r="P21" s="195"/>
      <c r="Q21" s="262" t="s">
        <v>324</v>
      </c>
      <c r="R21" s="263"/>
      <c r="S21" s="263"/>
      <c r="T21" s="263"/>
      <c r="U21" s="264"/>
      <c r="V21" s="773" t="e">
        <f>IF(MAX(K117,K118,Q117,Q118)&gt;2*E10,"YES","NO")</f>
        <v>#DIV/0!</v>
      </c>
    </row>
    <row r="22" spans="7:25" x14ac:dyDescent="0.25">
      <c r="G22" s="911">
        <v>0</v>
      </c>
      <c r="H22" s="759" t="s">
        <v>16</v>
      </c>
      <c r="J22" s="276" t="s">
        <v>1378</v>
      </c>
      <c r="K22" s="18"/>
      <c r="L22" s="18"/>
      <c r="M22" s="18"/>
      <c r="N22" s="18"/>
      <c r="T22" s="15"/>
      <c r="U22" s="15"/>
    </row>
    <row r="23" spans="7:25" x14ac:dyDescent="0.25">
      <c r="G23" s="911">
        <v>10</v>
      </c>
      <c r="H23" s="759" t="s">
        <v>17</v>
      </c>
      <c r="J23" s="15" t="s">
        <v>1236</v>
      </c>
      <c r="K23" s="18"/>
      <c r="L23" s="18"/>
      <c r="M23" s="18"/>
      <c r="N23" s="18"/>
      <c r="O23" s="18"/>
      <c r="P23" s="18"/>
      <c r="Q23" s="18"/>
      <c r="R23" s="18"/>
      <c r="S23" s="18"/>
      <c r="T23" s="18"/>
      <c r="U23" s="18"/>
      <c r="V23" s="18"/>
    </row>
    <row r="24" spans="7:25" x14ac:dyDescent="0.25">
      <c r="G24" s="911">
        <v>20</v>
      </c>
      <c r="H24" s="759" t="s">
        <v>18</v>
      </c>
      <c r="J24" s="258"/>
      <c r="K24" s="18"/>
      <c r="L24" s="18"/>
      <c r="M24" s="18"/>
      <c r="N24" s="18"/>
    </row>
    <row r="25" spans="7:25" ht="19.5" thickBot="1" x14ac:dyDescent="0.35">
      <c r="G25" s="911">
        <v>35</v>
      </c>
      <c r="H25" s="759" t="s">
        <v>19</v>
      </c>
      <c r="J25" s="258"/>
      <c r="K25" s="18"/>
      <c r="L25" s="18"/>
      <c r="M25" s="158"/>
      <c r="N25" s="158"/>
      <c r="O25" s="195"/>
    </row>
    <row r="26" spans="7:25" ht="21.75" thickBot="1" x14ac:dyDescent="0.4">
      <c r="G26" s="911">
        <v>55</v>
      </c>
      <c r="H26" s="759" t="s">
        <v>20</v>
      </c>
      <c r="L26" s="1769" t="s">
        <v>325</v>
      </c>
      <c r="M26" s="1770"/>
      <c r="N26" s="1770"/>
      <c r="O26" s="1770"/>
      <c r="P26" s="940">
        <f>E13*0.95</f>
        <v>0</v>
      </c>
    </row>
    <row r="27" spans="7:25" ht="15.75" thickBot="1" x14ac:dyDescent="0.3">
      <c r="G27" s="911">
        <v>80</v>
      </c>
      <c r="H27" s="759" t="s">
        <v>21</v>
      </c>
    </row>
    <row r="28" spans="7:25" ht="15.75" x14ac:dyDescent="0.25">
      <c r="J28" s="1700" t="s">
        <v>955</v>
      </c>
      <c r="K28" s="1688" t="s">
        <v>950</v>
      </c>
      <c r="L28" s="1689"/>
      <c r="M28" s="15"/>
      <c r="N28" s="1713" t="s">
        <v>100</v>
      </c>
      <c r="O28" s="1714"/>
      <c r="P28" s="15"/>
      <c r="Q28" s="1688" t="s">
        <v>954</v>
      </c>
      <c r="R28" s="1689"/>
    </row>
    <row r="29" spans="7:25" ht="15.75" x14ac:dyDescent="0.25">
      <c r="J29" s="1701"/>
      <c r="K29" s="1775"/>
      <c r="L29" s="1719"/>
      <c r="N29" s="1730"/>
      <c r="O29" s="1810"/>
      <c r="P29" s="774"/>
      <c r="Q29" s="1775"/>
      <c r="R29" s="1719"/>
    </row>
    <row r="30" spans="7:25" ht="16.5" thickBot="1" x14ac:dyDescent="0.3">
      <c r="J30" s="1702"/>
      <c r="K30" s="1140" t="s">
        <v>716</v>
      </c>
      <c r="L30" s="1141"/>
      <c r="M30" s="368"/>
      <c r="N30" s="1140" t="s">
        <v>717</v>
      </c>
      <c r="O30" s="1322" t="s">
        <v>718</v>
      </c>
      <c r="P30" s="368"/>
      <c r="Q30" s="1140" t="s">
        <v>918</v>
      </c>
      <c r="R30" s="1323"/>
    </row>
    <row r="31" spans="7:25" ht="15.75" x14ac:dyDescent="0.25">
      <c r="J31" s="560" t="s">
        <v>329</v>
      </c>
      <c r="K31" s="10"/>
      <c r="L31" s="777" t="str">
        <f>CONCATENATE($L$9,"T")</f>
        <v>0T</v>
      </c>
      <c r="M31" s="1142" t="str">
        <f>CONCATENATE($L$9,"T")</f>
        <v>0T</v>
      </c>
      <c r="N31" s="10"/>
      <c r="O31" s="1315"/>
      <c r="P31" s="777" t="str">
        <f>CONCATENATE($O$9,"T")</f>
        <v>NBT</v>
      </c>
      <c r="Q31" s="10"/>
      <c r="R31" s="1167" t="str">
        <f>CONCATENATE($O$9,"T")</f>
        <v>NBT</v>
      </c>
    </row>
    <row r="32" spans="7:25" ht="15.75" x14ac:dyDescent="0.25">
      <c r="J32" s="17" t="s">
        <v>330</v>
      </c>
      <c r="K32" s="9"/>
      <c r="L32" s="276" t="str">
        <f>CONCATENATE($R$9,"T")</f>
        <v>EBT</v>
      </c>
      <c r="M32" s="471" t="str">
        <f>CONCATENATE($R$9,"T")</f>
        <v>EBT</v>
      </c>
      <c r="N32" s="9"/>
      <c r="O32" s="890"/>
      <c r="P32" s="276" t="str">
        <f>CONCATENATE($U$9,"T")</f>
        <v>SBT</v>
      </c>
      <c r="Q32" s="9"/>
      <c r="R32" s="1324" t="str">
        <f>P32</f>
        <v>SBT</v>
      </c>
    </row>
    <row r="33" spans="2:30" ht="15.75" x14ac:dyDescent="0.25">
      <c r="J33" s="17" t="s">
        <v>331</v>
      </c>
      <c r="K33" s="1146">
        <v>0</v>
      </c>
      <c r="L33" s="276"/>
      <c r="M33" s="471" t="str">
        <f>CONCATENATE($L$9,"R")</f>
        <v>0R</v>
      </c>
      <c r="N33" s="9"/>
      <c r="O33" s="890"/>
      <c r="P33" s="276" t="str">
        <f>CONCATENATE($O$9,"R")</f>
        <v>NBR</v>
      </c>
      <c r="Q33" s="1146">
        <v>0</v>
      </c>
      <c r="R33" s="1324"/>
    </row>
    <row r="34" spans="2:30" ht="16.5" thickBot="1" x14ac:dyDescent="0.3">
      <c r="J34" s="17" t="s">
        <v>332</v>
      </c>
      <c r="K34" s="9"/>
      <c r="L34" s="276" t="str">
        <f>CONCATENATE($R$9,"R")</f>
        <v>EBR</v>
      </c>
      <c r="M34" s="471" t="str">
        <f>CONCATENATE($R$9,"R")</f>
        <v>EBR</v>
      </c>
      <c r="N34" s="9"/>
      <c r="O34" s="890"/>
      <c r="P34" s="276" t="str">
        <f>CONCATENATE($U$9,"R")</f>
        <v>SBR</v>
      </c>
      <c r="Q34" s="9"/>
      <c r="R34" s="1324" t="str">
        <f>P34</f>
        <v>SBR</v>
      </c>
      <c r="S34" s="15"/>
    </row>
    <row r="35" spans="2:30" ht="16.5" thickBot="1" x14ac:dyDescent="0.3">
      <c r="D35" s="461" t="s">
        <v>333</v>
      </c>
      <c r="E35" s="1148">
        <f>ROUND(22/14*E10,0)</f>
        <v>0</v>
      </c>
      <c r="J35" s="17" t="s">
        <v>334</v>
      </c>
      <c r="K35" s="9"/>
      <c r="L35" s="276" t="str">
        <f>CONCATENATE($L$9,"L")</f>
        <v>0L</v>
      </c>
      <c r="M35" s="471"/>
      <c r="N35" s="1149"/>
      <c r="O35" s="1149"/>
      <c r="P35" s="15"/>
      <c r="Q35" s="9"/>
      <c r="R35" s="1324" t="str">
        <f>CONCATENATE($O$9,"L")</f>
        <v>NBL</v>
      </c>
    </row>
    <row r="36" spans="2:30" ht="18" customHeight="1" x14ac:dyDescent="0.25">
      <c r="C36" s="720"/>
      <c r="J36" s="17" t="s">
        <v>335</v>
      </c>
      <c r="K36" s="1146">
        <v>0</v>
      </c>
      <c r="L36" s="276"/>
      <c r="M36" s="471"/>
      <c r="N36" s="1149"/>
      <c r="O36" s="1149"/>
      <c r="P36" s="15"/>
      <c r="Q36" s="1146">
        <v>0</v>
      </c>
      <c r="R36" s="1324"/>
    </row>
    <row r="37" spans="2:30" ht="15.75" x14ac:dyDescent="0.25">
      <c r="J37" s="17" t="s">
        <v>713</v>
      </c>
      <c r="K37" s="9"/>
      <c r="L37" s="276" t="str">
        <f>CONCATENATE($O$9,"R")</f>
        <v>NBR</v>
      </c>
      <c r="M37" s="471"/>
      <c r="N37" s="1149"/>
      <c r="O37" s="1149"/>
      <c r="P37" s="15"/>
      <c r="Q37" s="9"/>
      <c r="R37" s="1324" t="str">
        <f>CONCATENATE($R$9,"R")</f>
        <v>EBR</v>
      </c>
    </row>
    <row r="38" spans="2:30" ht="16.5" thickBot="1" x14ac:dyDescent="0.3">
      <c r="B38" s="1792"/>
      <c r="C38" s="1792"/>
      <c r="D38" s="1792"/>
      <c r="E38" s="1792"/>
      <c r="F38" s="1792"/>
      <c r="G38" s="1792"/>
      <c r="H38" s="1792"/>
      <c r="J38" s="19" t="s">
        <v>714</v>
      </c>
      <c r="K38" s="11"/>
      <c r="L38" s="785" t="str">
        <f>CONCATENATE($O$9,"L")</f>
        <v>NBL</v>
      </c>
      <c r="M38" s="1325"/>
      <c r="N38" s="1151"/>
      <c r="O38" s="1151"/>
      <c r="P38" s="1150"/>
      <c r="Q38" s="11"/>
      <c r="R38" s="788" t="str">
        <f>CONCATENATE($R$9,"L")</f>
        <v>EBL</v>
      </c>
    </row>
    <row r="39" spans="2:30" ht="19.5" thickBot="1" x14ac:dyDescent="0.35">
      <c r="B39" s="27"/>
      <c r="C39" s="195"/>
      <c r="D39" s="27"/>
      <c r="E39" s="18"/>
      <c r="F39" s="18"/>
      <c r="G39" s="18"/>
      <c r="H39" s="18"/>
      <c r="M39" s="258" t="s">
        <v>338</v>
      </c>
      <c r="N39" s="455" t="s">
        <v>339</v>
      </c>
      <c r="O39" s="455" t="s">
        <v>340</v>
      </c>
    </row>
    <row r="40" spans="2:30" ht="18.75" x14ac:dyDescent="0.3">
      <c r="B40" s="27"/>
      <c r="C40" s="195"/>
      <c r="D40" s="27"/>
      <c r="E40" s="18"/>
      <c r="F40" s="18"/>
      <c r="G40" s="18"/>
      <c r="H40" s="18"/>
      <c r="J40" s="560" t="s">
        <v>341</v>
      </c>
      <c r="K40" s="731" t="e">
        <f>L13+V13</f>
        <v>#DIV/0!</v>
      </c>
      <c r="L40" s="731"/>
      <c r="M40" s="731"/>
      <c r="N40" s="731" t="e">
        <f>L13+K13</f>
        <v>#DIV/0!</v>
      </c>
      <c r="O40" s="731" t="e">
        <f>O13+Q13</f>
        <v>#DIV/0!</v>
      </c>
      <c r="P40" s="731"/>
      <c r="Q40" s="731" t="e">
        <f>O13+N13</f>
        <v>#DIV/0!</v>
      </c>
      <c r="R40" s="678"/>
    </row>
    <row r="41" spans="2:30" ht="18.75" x14ac:dyDescent="0.3">
      <c r="B41" s="27"/>
      <c r="C41" s="195"/>
      <c r="D41" s="27"/>
      <c r="E41" s="18"/>
      <c r="F41" s="18"/>
      <c r="G41" s="18"/>
      <c r="H41" s="158"/>
      <c r="J41" s="1153" t="s">
        <v>1293</v>
      </c>
      <c r="K41" s="1154" t="e">
        <f>R13+0.5*S13</f>
        <v>#DIV/0!</v>
      </c>
      <c r="L41" s="1154"/>
      <c r="M41" s="1154"/>
      <c r="N41" s="20" t="e">
        <f>R13+T13+0.5*S13</f>
        <v>#DIV/0!</v>
      </c>
      <c r="O41" s="1154" t="e">
        <f>T13+U13</f>
        <v>#DIV/0!</v>
      </c>
      <c r="P41" s="1154"/>
      <c r="Q41" s="1154" t="e">
        <f>0.5*S13+U13</f>
        <v>#DIV/0!</v>
      </c>
      <c r="R41" s="1155"/>
    </row>
    <row r="42" spans="2:30" ht="18.75" x14ac:dyDescent="0.3">
      <c r="B42" s="27"/>
      <c r="C42" s="195"/>
      <c r="D42" s="27"/>
      <c r="E42" s="18"/>
      <c r="F42" s="18"/>
      <c r="G42" s="18"/>
      <c r="H42" s="158"/>
      <c r="J42" s="1156" t="s">
        <v>1294</v>
      </c>
      <c r="K42" s="1163" t="e">
        <f>(D40*E40*0.5*M13+D40*K13)*K49</f>
        <v>#DIV/0!</v>
      </c>
      <c r="L42" s="342"/>
      <c r="M42" s="342"/>
      <c r="N42" s="342" t="e">
        <f>M13</f>
        <v>#DIV/0!</v>
      </c>
      <c r="O42" s="342" t="e">
        <f>P13</f>
        <v>#DIV/0!</v>
      </c>
      <c r="P42" s="342"/>
      <c r="Q42" s="1163" t="e">
        <f>D40*N13*Q49</f>
        <v>#DIV/0!</v>
      </c>
      <c r="R42" s="1157"/>
    </row>
    <row r="43" spans="2:30" x14ac:dyDescent="0.25">
      <c r="B43" s="1158"/>
      <c r="C43" s="1159"/>
      <c r="D43" s="1160"/>
      <c r="E43" s="1161"/>
      <c r="F43" s="1161"/>
      <c r="G43" s="1161"/>
      <c r="H43" s="1161"/>
      <c r="J43" s="1153" t="s">
        <v>1310</v>
      </c>
      <c r="K43" s="1154" t="e">
        <f>0.5*S13+Q13</f>
        <v>#DIV/0!</v>
      </c>
      <c r="L43" s="1154"/>
      <c r="M43" s="1154"/>
      <c r="N43" s="1154" t="e">
        <f>0.5*S13</f>
        <v>#DIV/0!</v>
      </c>
      <c r="O43" s="1154" t="e">
        <f>V13</f>
        <v>#DIV/0!</v>
      </c>
      <c r="P43" s="1154"/>
      <c r="Q43" s="1154" t="e">
        <f>T13</f>
        <v>#DIV/0!</v>
      </c>
      <c r="R43" s="1155"/>
    </row>
    <row r="44" spans="2:30" x14ac:dyDescent="0.25">
      <c r="J44" s="1156" t="s">
        <v>345</v>
      </c>
      <c r="K44" s="342" t="e">
        <f>K13</f>
        <v>#DIV/0!</v>
      </c>
      <c r="L44" s="342"/>
      <c r="M44" s="342"/>
      <c r="N44" s="1163"/>
      <c r="O44" s="1163"/>
      <c r="P44" s="342"/>
      <c r="Q44" s="342" t="e">
        <f>N13</f>
        <v>#DIV/0!</v>
      </c>
      <c r="R44" s="1157"/>
    </row>
    <row r="45" spans="2:30" ht="18.75" x14ac:dyDescent="0.3">
      <c r="B45" s="27"/>
      <c r="C45" s="195"/>
      <c r="D45" s="27"/>
      <c r="E45" s="18"/>
      <c r="F45" s="18"/>
      <c r="G45" s="18"/>
      <c r="H45" s="18"/>
      <c r="J45" s="1153" t="s">
        <v>346</v>
      </c>
      <c r="K45" s="1162" t="e">
        <f>(D40*H40*Q13)*K50</f>
        <v>#DIV/0!</v>
      </c>
      <c r="L45" s="1154"/>
      <c r="M45" s="1154"/>
      <c r="N45" s="1162"/>
      <c r="O45" s="1162"/>
      <c r="P45" s="1154"/>
      <c r="Q45" s="1162" t="e">
        <f>D40*H40*T13*Q50</f>
        <v>#DIV/0!</v>
      </c>
      <c r="R45" s="1155"/>
      <c r="V45" s="21"/>
      <c r="W45" s="22"/>
      <c r="X45" s="23"/>
      <c r="Y45" s="23"/>
      <c r="Z45" s="22"/>
      <c r="AA45" s="23"/>
      <c r="AB45" s="23"/>
      <c r="AC45" s="22"/>
      <c r="AD45" s="23"/>
    </row>
    <row r="46" spans="2:30" ht="18.75" x14ac:dyDescent="0.3">
      <c r="B46" s="27"/>
      <c r="C46" s="195"/>
      <c r="D46" s="27"/>
      <c r="E46" s="18"/>
      <c r="F46" s="18"/>
      <c r="G46" s="18"/>
      <c r="H46" s="18"/>
      <c r="J46" s="17" t="s">
        <v>348</v>
      </c>
      <c r="K46" s="20" t="e">
        <f>T13+IF(K38=0,N13,0)</f>
        <v>#DIV/0!</v>
      </c>
      <c r="L46" s="20"/>
      <c r="M46" s="20"/>
      <c r="N46" s="504"/>
      <c r="O46" s="504"/>
      <c r="P46" s="20"/>
      <c r="Q46" s="20" t="e">
        <f>0.5*S13+K13+IF(Q38=0,Q13,0)</f>
        <v>#DIV/0!</v>
      </c>
      <c r="R46" s="578"/>
      <c r="V46" s="21"/>
      <c r="W46" s="22"/>
      <c r="X46" s="23"/>
      <c r="Y46" s="23"/>
      <c r="Z46" s="22"/>
      <c r="AA46" s="23"/>
      <c r="AB46" s="23"/>
      <c r="AC46" s="22"/>
      <c r="AD46" s="23"/>
    </row>
    <row r="47" spans="2:30" ht="19.5" thickBot="1" x14ac:dyDescent="0.35">
      <c r="B47" s="27"/>
      <c r="C47" s="195"/>
      <c r="D47" s="27"/>
      <c r="E47" s="18"/>
      <c r="F47" s="18"/>
      <c r="G47" s="18"/>
      <c r="H47" s="158"/>
      <c r="J47" s="19" t="s">
        <v>350</v>
      </c>
      <c r="K47" s="671">
        <f>IF(K38=0,0,N13)</f>
        <v>0</v>
      </c>
      <c r="L47" s="671"/>
      <c r="M47" s="671"/>
      <c r="N47" s="1164"/>
      <c r="O47" s="1164"/>
      <c r="P47" s="671"/>
      <c r="Q47" s="671">
        <f>IF(Q38=0,0,T13)</f>
        <v>0</v>
      </c>
      <c r="R47" s="679"/>
      <c r="W47" s="18"/>
      <c r="X47" s="18"/>
      <c r="Y47" s="18"/>
      <c r="Z47" s="18"/>
      <c r="AA47" s="18"/>
      <c r="AB47" s="18"/>
      <c r="AC47" s="18"/>
      <c r="AD47" s="18"/>
    </row>
    <row r="48" spans="2:30" ht="19.5" thickBot="1" x14ac:dyDescent="0.35">
      <c r="B48" s="27"/>
      <c r="C48" s="195"/>
      <c r="D48" s="27"/>
      <c r="E48" s="18"/>
      <c r="F48" s="18"/>
      <c r="G48" s="18"/>
      <c r="H48" s="158"/>
      <c r="J48" s="1166"/>
      <c r="K48" s="1688" t="s">
        <v>950</v>
      </c>
      <c r="L48" s="1689"/>
      <c r="M48" s="1168"/>
      <c r="N48" s="1713" t="s">
        <v>100</v>
      </c>
      <c r="O48" s="1714"/>
      <c r="P48" s="1168"/>
      <c r="Q48" s="1688" t="s">
        <v>954</v>
      </c>
      <c r="R48" s="1689"/>
      <c r="T48" s="682"/>
      <c r="V48" s="802"/>
      <c r="W48" s="18"/>
      <c r="X48" s="18"/>
      <c r="Y48" s="18"/>
      <c r="Z48" s="24"/>
      <c r="AA48" s="18"/>
      <c r="AB48" s="18"/>
      <c r="AC48" s="18"/>
      <c r="AD48" s="18"/>
    </row>
    <row r="49" spans="2:30" ht="15.75" x14ac:dyDescent="0.25">
      <c r="B49" s="1158"/>
      <c r="C49" s="1159"/>
      <c r="D49" s="1160"/>
      <c r="E49" s="1161"/>
      <c r="F49" s="1161"/>
      <c r="G49" s="1161"/>
      <c r="H49" s="1161"/>
      <c r="J49" s="560" t="s">
        <v>1237</v>
      </c>
      <c r="K49" s="713">
        <v>1.18</v>
      </c>
      <c r="L49" s="713"/>
      <c r="M49" s="713"/>
      <c r="N49" s="713">
        <v>1.18</v>
      </c>
      <c r="O49" s="713"/>
      <c r="P49" s="713"/>
      <c r="Q49" s="713">
        <v>1.18</v>
      </c>
      <c r="R49" s="561"/>
      <c r="V49" s="802"/>
      <c r="W49" s="18"/>
      <c r="X49" s="18"/>
      <c r="Y49" s="18"/>
      <c r="Z49" s="24"/>
      <c r="AA49" s="18"/>
      <c r="AB49" s="18"/>
      <c r="AC49" s="18"/>
      <c r="AD49" s="18"/>
    </row>
    <row r="50" spans="2:30" ht="16.5" thickBot="1" x14ac:dyDescent="0.3">
      <c r="J50" s="19" t="s">
        <v>1238</v>
      </c>
      <c r="K50" s="718">
        <v>1.05</v>
      </c>
      <c r="L50" s="718"/>
      <c r="M50" s="718"/>
      <c r="N50" s="718">
        <v>1.05</v>
      </c>
      <c r="O50" s="718"/>
      <c r="P50" s="718"/>
      <c r="Q50" s="718">
        <v>1.05</v>
      </c>
      <c r="R50" s="666"/>
      <c r="V50" s="802"/>
      <c r="W50" s="24"/>
      <c r="X50" s="18"/>
      <c r="Y50" s="18"/>
      <c r="Z50" s="24"/>
      <c r="AA50" s="18"/>
      <c r="AB50" s="18"/>
      <c r="AC50" s="24"/>
      <c r="AD50" s="18"/>
    </row>
    <row r="51" spans="2:30" ht="15.75" thickBot="1" x14ac:dyDescent="0.3">
      <c r="K51" s="308"/>
      <c r="L51" s="308"/>
      <c r="M51" s="308"/>
      <c r="N51" s="308"/>
      <c r="O51" s="308"/>
      <c r="P51" s="308"/>
      <c r="Q51" s="308">
        <v>1.18</v>
      </c>
      <c r="R51" s="570"/>
      <c r="V51" s="803"/>
      <c r="W51" s="25"/>
      <c r="X51" s="25"/>
      <c r="Y51" s="25"/>
      <c r="Z51" s="25"/>
      <c r="AA51" s="25"/>
      <c r="AB51" s="25"/>
      <c r="AC51" s="25"/>
      <c r="AD51" s="25"/>
    </row>
    <row r="52" spans="2:30" x14ac:dyDescent="0.25">
      <c r="J52" s="560" t="s">
        <v>1295</v>
      </c>
      <c r="K52" s="712" t="e">
        <f>(K40/K31)/$P$26</f>
        <v>#DIV/0!</v>
      </c>
      <c r="L52" s="1171" t="e">
        <f>IF(K52&gt;K53+K56,1,0)</f>
        <v>#DIV/0!</v>
      </c>
      <c r="M52" s="658"/>
      <c r="N52" s="712" t="e">
        <f t="shared" ref="N52:O53" si="5">N40/N31/$P$26</f>
        <v>#DIV/0!</v>
      </c>
      <c r="O52" s="712" t="e">
        <f t="shared" si="5"/>
        <v>#DIV/0!</v>
      </c>
      <c r="P52" s="658"/>
      <c r="Q52" s="712" t="e">
        <f>(Q40/Q31)/$P$26</f>
        <v>#DIV/0!</v>
      </c>
      <c r="R52" s="1172" t="e">
        <f>IF(Q52&gt;Q53+Q56,1,0)</f>
        <v>#DIV/0!</v>
      </c>
      <c r="V52" s="803"/>
      <c r="W52" s="26"/>
      <c r="X52" s="26"/>
      <c r="Y52" s="26"/>
      <c r="Z52" s="25"/>
      <c r="AA52" s="26"/>
      <c r="AB52" s="26"/>
      <c r="AC52" s="26"/>
      <c r="AD52" s="26"/>
    </row>
    <row r="53" spans="2:30" x14ac:dyDescent="0.25">
      <c r="J53" s="17" t="s">
        <v>1296</v>
      </c>
      <c r="K53" s="309" t="e">
        <f>(K41/K32)/$P$26</f>
        <v>#DIV/0!</v>
      </c>
      <c r="L53" s="1173" t="e">
        <f>1-L52</f>
        <v>#DIV/0!</v>
      </c>
      <c r="M53" s="18"/>
      <c r="N53" s="309" t="e">
        <f t="shared" si="5"/>
        <v>#DIV/0!</v>
      </c>
      <c r="O53" s="309" t="e">
        <f t="shared" si="5"/>
        <v>#DIV/0!</v>
      </c>
      <c r="P53" s="18"/>
      <c r="Q53" s="309" t="e">
        <f>(Q41/Q32)/$P$26</f>
        <v>#DIV/0!</v>
      </c>
      <c r="R53" s="1174" t="e">
        <f>1-R52</f>
        <v>#DIV/0!</v>
      </c>
      <c r="T53" s="275"/>
      <c r="V53" s="803"/>
      <c r="W53" s="26"/>
      <c r="X53" s="26"/>
      <c r="Y53" s="26"/>
      <c r="Z53" s="25"/>
      <c r="AA53" s="26"/>
      <c r="AB53" s="26"/>
      <c r="AC53" s="26"/>
      <c r="AD53" s="26"/>
    </row>
    <row r="54" spans="2:30" x14ac:dyDescent="0.25">
      <c r="J54" s="1156" t="s">
        <v>1287</v>
      </c>
      <c r="K54" s="1235">
        <f>IF(K33=0,0,(K42/K33)/$P$26)</f>
        <v>0</v>
      </c>
      <c r="L54" s="1177"/>
      <c r="M54" s="1177"/>
      <c r="N54" s="1175">
        <f>IF(N33=0,0,N42/N33/$P$26)</f>
        <v>0</v>
      </c>
      <c r="O54" s="1175">
        <f>IF(O33=0,0,O42/O33/$P$26)</f>
        <v>0</v>
      </c>
      <c r="P54" s="1177"/>
      <c r="Q54" s="1235">
        <f>IF(Q33=0,0,(Q42/Q33)/$P$26)</f>
        <v>0</v>
      </c>
      <c r="R54" s="1199"/>
      <c r="T54" s="275"/>
      <c r="V54" s="803"/>
      <c r="W54" s="26"/>
      <c r="X54" s="26"/>
      <c r="Y54" s="26"/>
      <c r="Z54" s="25"/>
      <c r="AA54" s="26"/>
      <c r="AB54" s="26"/>
      <c r="AC54" s="26"/>
      <c r="AD54" s="26"/>
    </row>
    <row r="55" spans="2:30" x14ac:dyDescent="0.25">
      <c r="J55" s="1153" t="s">
        <v>1298</v>
      </c>
      <c r="K55" s="1181">
        <f>IF(K34=0,0,(K43/K34)/$P$26)</f>
        <v>0</v>
      </c>
      <c r="L55" s="328"/>
      <c r="M55" s="328"/>
      <c r="N55" s="1181">
        <f>IF(N34=0,0,N43/N34/$P$26)</f>
        <v>0</v>
      </c>
      <c r="O55" s="1181">
        <f>IF(O34=0,0,O43/O34/$P$26)</f>
        <v>0</v>
      </c>
      <c r="P55" s="328"/>
      <c r="Q55" s="1181">
        <f>IF(Q34=0,0,(Q43/Q34)/$P$26)</f>
        <v>0</v>
      </c>
      <c r="R55" s="1196"/>
      <c r="T55" s="275"/>
      <c r="V55" s="803"/>
      <c r="W55" s="26"/>
      <c r="X55" s="26"/>
      <c r="Y55" s="26"/>
      <c r="Z55" s="25"/>
      <c r="AA55" s="26"/>
      <c r="AB55" s="26"/>
      <c r="AC55" s="26"/>
      <c r="AD55" s="26"/>
    </row>
    <row r="56" spans="2:30" x14ac:dyDescent="0.25">
      <c r="J56" s="17" t="s">
        <v>1289</v>
      </c>
      <c r="K56" s="309">
        <f>IF(K35=0,0,(K44/K35)/$P$26)</f>
        <v>0</v>
      </c>
      <c r="L56" s="1173" t="e">
        <f>L53</f>
        <v>#DIV/0!</v>
      </c>
      <c r="M56" s="18"/>
      <c r="N56" s="789"/>
      <c r="O56" s="789"/>
      <c r="P56" s="18"/>
      <c r="Q56" s="309">
        <f>IF(Q35=0,0,(Q44/Q35)/$P$26)</f>
        <v>0</v>
      </c>
      <c r="R56" s="1174" t="e">
        <f>R53</f>
        <v>#DIV/0!</v>
      </c>
      <c r="V56" s="803"/>
      <c r="W56" s="25"/>
      <c r="X56" s="25"/>
      <c r="Y56" s="25"/>
      <c r="Z56" s="25"/>
      <c r="AA56" s="25"/>
      <c r="AB56" s="25"/>
      <c r="AC56" s="25"/>
      <c r="AD56" s="25"/>
    </row>
    <row r="57" spans="2:30" x14ac:dyDescent="0.25">
      <c r="J57" s="1153" t="s">
        <v>1290</v>
      </c>
      <c r="K57" s="1179">
        <f>IF(K36=0,0,(K45/K36)/$P$26)</f>
        <v>0</v>
      </c>
      <c r="L57" s="328"/>
      <c r="M57" s="328"/>
      <c r="N57" s="789"/>
      <c r="O57" s="789"/>
      <c r="P57" s="328"/>
      <c r="Q57" s="1179">
        <f>IF(Q36=0,0,(Q45/Q36)/$P$26)</f>
        <v>0</v>
      </c>
      <c r="R57" s="1196"/>
      <c r="S57" s="23"/>
    </row>
    <row r="58" spans="2:30" x14ac:dyDescent="0.25">
      <c r="G58" s="400"/>
      <c r="J58" s="17" t="s">
        <v>1291</v>
      </c>
      <c r="K58" s="309" t="e">
        <f>(K46/K37)/$P$26</f>
        <v>#DIV/0!</v>
      </c>
      <c r="L58" s="18"/>
      <c r="M58" s="18"/>
      <c r="N58" s="789"/>
      <c r="O58" s="789"/>
      <c r="P58" s="18"/>
      <c r="Q58" s="309" t="e">
        <f>(Q46/Q37)/$P$26</f>
        <v>#DIV/0!</v>
      </c>
      <c r="R58" s="570"/>
      <c r="S58" s="18"/>
    </row>
    <row r="59" spans="2:30" ht="15.75" thickBot="1" x14ac:dyDescent="0.3">
      <c r="B59" s="400"/>
      <c r="G59" s="400"/>
      <c r="J59" s="19" t="s">
        <v>1292</v>
      </c>
      <c r="K59" s="717">
        <f>IF(K38=0,0,(K47/K38)/$P$26)</f>
        <v>0</v>
      </c>
      <c r="L59" s="663"/>
      <c r="M59" s="663"/>
      <c r="N59" s="792"/>
      <c r="O59" s="792"/>
      <c r="P59" s="663"/>
      <c r="Q59" s="717">
        <f>IF(Q38=0,0,(Q47/Q38)/$P$26)</f>
        <v>0</v>
      </c>
      <c r="R59" s="666"/>
      <c r="S59" s="18"/>
    </row>
    <row r="60" spans="2:30" ht="16.5" thickBot="1" x14ac:dyDescent="0.3">
      <c r="B60" s="400"/>
      <c r="J60" s="19"/>
      <c r="K60" s="1185" t="str">
        <f>K30</f>
        <v>6Q4</v>
      </c>
      <c r="L60" s="663"/>
      <c r="M60" s="663"/>
      <c r="N60" s="27">
        <v>26</v>
      </c>
      <c r="O60" s="27">
        <v>48</v>
      </c>
      <c r="P60" s="663"/>
      <c r="Q60" s="1185" t="str">
        <f>Q30</f>
        <v>4Q6</v>
      </c>
      <c r="R60" s="666"/>
      <c r="S60" s="24"/>
    </row>
    <row r="61" spans="2:30" ht="19.5" thickBot="1" x14ac:dyDescent="0.35">
      <c r="G61" s="1186"/>
      <c r="H61" s="572"/>
      <c r="J61" s="806" t="s">
        <v>426</v>
      </c>
      <c r="K61" s="1326" t="e">
        <f>MAX(K52,K53+K56)+IF(K38=0,K58,K59)</f>
        <v>#DIV/0!</v>
      </c>
      <c r="L61" s="1188"/>
      <c r="M61" s="1188"/>
      <c r="N61" s="1811" t="e">
        <f>MAX(N52,N53,N54,N55)+MAX(O52,O53,O54,O55)</f>
        <v>#DIV/0!</v>
      </c>
      <c r="O61" s="1812"/>
      <c r="P61" s="1188"/>
      <c r="Q61" s="1326" t="e">
        <f>MAX(Q52,Q53+Q56)+IF(Q38=0,Q58,Q59)</f>
        <v>#DIV/0!</v>
      </c>
      <c r="R61" s="809"/>
      <c r="S61" s="18"/>
    </row>
    <row r="62" spans="2:30" ht="16.5" thickBot="1" x14ac:dyDescent="0.3">
      <c r="G62" s="1190"/>
      <c r="H62" s="572"/>
      <c r="J62" s="1800" t="s">
        <v>34</v>
      </c>
      <c r="K62" s="1801"/>
      <c r="L62" s="1801"/>
      <c r="M62" s="1801"/>
      <c r="N62" s="1801"/>
      <c r="O62" s="1801"/>
      <c r="P62" s="1801"/>
      <c r="Q62" s="1801"/>
      <c r="R62" s="1802"/>
      <c r="S62" s="18"/>
    </row>
    <row r="63" spans="2:30" x14ac:dyDescent="0.25">
      <c r="G63" s="1776"/>
      <c r="H63" s="1776"/>
      <c r="J63" s="591" t="s">
        <v>354</v>
      </c>
      <c r="K63" s="1191">
        <v>10</v>
      </c>
      <c r="L63" s="1191"/>
      <c r="M63" s="1191"/>
      <c r="N63" s="1191">
        <v>10</v>
      </c>
      <c r="O63" s="1191"/>
      <c r="P63" s="1191"/>
      <c r="Q63" s="1191">
        <v>10</v>
      </c>
      <c r="R63" s="811"/>
      <c r="S63" s="18"/>
    </row>
    <row r="64" spans="2:30" ht="15.75" thickBot="1" x14ac:dyDescent="0.3">
      <c r="J64" s="17" t="s">
        <v>111</v>
      </c>
      <c r="K64" s="20" t="e">
        <f>IF(K61&gt;0.85-8.5/$E$12,$E$12,MAX($E$11,8.5/(0.85-K61)))</f>
        <v>#DIV/0!</v>
      </c>
      <c r="L64" s="18"/>
      <c r="M64" s="18"/>
      <c r="N64" s="20" t="e">
        <f>IF(N61&gt;0.85-8.5/$E$12,$E$12,MAX($E$11,8.5/(0.85-N61)))</f>
        <v>#DIV/0!</v>
      </c>
      <c r="O64" s="18"/>
      <c r="P64" s="18"/>
      <c r="Q64" s="18" t="e">
        <f>IF(Q61&gt;0.85-8.5/$E$12,$E$12,MAX($E$11,8.5/(0.85-Q61)))</f>
        <v>#DIV/0!</v>
      </c>
      <c r="R64" s="578"/>
      <c r="S64" s="18"/>
      <c r="T64" s="399"/>
    </row>
    <row r="65" spans="4:30" ht="19.5" thickBot="1" x14ac:dyDescent="0.35">
      <c r="J65" s="812" t="s">
        <v>113</v>
      </c>
      <c r="K65" s="6"/>
      <c r="L65" s="1278"/>
      <c r="M65" s="1278"/>
      <c r="N65" s="10"/>
      <c r="O65" s="1102">
        <f>N65</f>
        <v>0</v>
      </c>
      <c r="P65" s="1278"/>
      <c r="Q65" s="10"/>
      <c r="R65" s="561"/>
      <c r="S65" s="26"/>
    </row>
    <row r="66" spans="4:30" ht="16.5" thickBot="1" x14ac:dyDescent="0.3">
      <c r="J66" s="560" t="s">
        <v>357</v>
      </c>
      <c r="K66" s="1280">
        <f>K67+K70+5</f>
        <v>5</v>
      </c>
      <c r="L66" s="658"/>
      <c r="M66" s="658"/>
      <c r="N66" s="10"/>
      <c r="O66" s="1102">
        <f>N65-N66-10</f>
        <v>-10</v>
      </c>
      <c r="P66" s="658"/>
      <c r="Q66" s="1280">
        <f>Q67+Q70+5</f>
        <v>5</v>
      </c>
      <c r="R66" s="561"/>
      <c r="S66" s="26"/>
    </row>
    <row r="67" spans="4:30" ht="16.5" thickBot="1" x14ac:dyDescent="0.3">
      <c r="J67" s="1153" t="s">
        <v>1299</v>
      </c>
      <c r="K67" s="1257"/>
      <c r="L67" s="327"/>
      <c r="M67" s="327"/>
      <c r="N67" s="1195">
        <f>N66</f>
        <v>0</v>
      </c>
      <c r="O67" s="1195">
        <f>O66</f>
        <v>-10</v>
      </c>
      <c r="P67" s="327"/>
      <c r="Q67" s="1257"/>
      <c r="R67" s="1196"/>
      <c r="S67" s="1813" t="s">
        <v>719</v>
      </c>
      <c r="T67" s="1814"/>
    </row>
    <row r="68" spans="4:30" ht="16.5" thickBot="1" x14ac:dyDescent="0.3">
      <c r="J68" s="1156" t="s">
        <v>1301</v>
      </c>
      <c r="K68" s="1327"/>
      <c r="L68" s="333"/>
      <c r="M68" s="333"/>
      <c r="N68" s="1198">
        <f>N66</f>
        <v>0</v>
      </c>
      <c r="O68" s="1198">
        <f>O66</f>
        <v>-10</v>
      </c>
      <c r="P68" s="333"/>
      <c r="Q68" s="1327"/>
      <c r="R68" s="1199"/>
      <c r="S68" s="1756"/>
      <c r="T68" s="1757"/>
      <c r="V68" s="275"/>
      <c r="X68" s="14"/>
      <c r="AA68" s="14"/>
      <c r="AD68" s="14"/>
    </row>
    <row r="69" spans="4:30" ht="19.5" thickBot="1" x14ac:dyDescent="0.35">
      <c r="D69" s="309"/>
      <c r="G69" s="692" t="s">
        <v>1137</v>
      </c>
      <c r="H69" s="814"/>
      <c r="J69" s="1153" t="s">
        <v>1300</v>
      </c>
      <c r="K69" s="1328">
        <f>IF(K34=0,0,K67+5+IF(K38=0,K72,K73))</f>
        <v>0</v>
      </c>
      <c r="L69" s="327"/>
      <c r="M69" s="327"/>
      <c r="N69" s="1195">
        <f>N66</f>
        <v>0</v>
      </c>
      <c r="O69" s="1195">
        <f>O66</f>
        <v>-10</v>
      </c>
      <c r="P69" s="327"/>
      <c r="Q69" s="1194">
        <f>IF(Q34=0,0,Q67+5+IF(Q38=0,Q72,Q73))</f>
        <v>0</v>
      </c>
      <c r="R69" s="1196"/>
      <c r="S69" s="1779" t="e">
        <f>N19</f>
        <v>#DIV/0!</v>
      </c>
      <c r="T69" s="1780"/>
      <c r="X69" s="14"/>
      <c r="AA69" s="14"/>
      <c r="AD69" s="14"/>
    </row>
    <row r="70" spans="4:30" ht="16.5" thickBot="1" x14ac:dyDescent="0.3">
      <c r="G70" s="695" t="s">
        <v>116</v>
      </c>
      <c r="H70" s="817"/>
      <c r="J70" s="1156" t="s">
        <v>361</v>
      </c>
      <c r="K70" s="1342"/>
      <c r="L70" s="327"/>
      <c r="M70" s="333"/>
      <c r="N70" s="1203"/>
      <c r="O70" s="1203"/>
      <c r="P70" s="333"/>
      <c r="Q70" s="1343"/>
      <c r="R70" s="1196"/>
      <c r="X70" s="14"/>
      <c r="AA70" s="14"/>
      <c r="AD70" s="14"/>
    </row>
    <row r="71" spans="4:30" ht="15.75" x14ac:dyDescent="0.25">
      <c r="J71" s="1153" t="s">
        <v>362</v>
      </c>
      <c r="K71" s="1329"/>
      <c r="L71" s="327"/>
      <c r="M71" s="327"/>
      <c r="N71" s="1206"/>
      <c r="O71" s="1206"/>
      <c r="P71" s="327"/>
      <c r="Q71" s="1330"/>
      <c r="R71" s="1196"/>
      <c r="U71" s="399"/>
      <c r="X71" s="14"/>
      <c r="AA71" s="14"/>
      <c r="AD71" s="14"/>
    </row>
    <row r="72" spans="4:30" ht="15.75" x14ac:dyDescent="0.25">
      <c r="J72" s="1156" t="s">
        <v>363</v>
      </c>
      <c r="K72" s="1197">
        <f>IF(K38=0,K65-K67-K70-15,K73+K70+5)</f>
        <v>-15</v>
      </c>
      <c r="L72" s="1177"/>
      <c r="M72" s="1177"/>
      <c r="N72" s="1207"/>
      <c r="O72" s="1202"/>
      <c r="P72" s="1177"/>
      <c r="Q72" s="1197">
        <f>IF(Q38=0,Q65-Q67-Q70-15,Q73+Q70+5)</f>
        <v>-15</v>
      </c>
      <c r="R72" s="1157"/>
      <c r="T72" s="399"/>
    </row>
    <row r="73" spans="4:30" ht="16.5" thickBot="1" x14ac:dyDescent="0.3">
      <c r="J73" s="19" t="s">
        <v>364</v>
      </c>
      <c r="K73" s="1331">
        <f>IF(K38=0,0,K65-K66-10)</f>
        <v>0</v>
      </c>
      <c r="L73" s="663"/>
      <c r="M73" s="663"/>
      <c r="N73" s="1332"/>
      <c r="O73" s="805"/>
      <c r="P73" s="663"/>
      <c r="Q73" s="1331">
        <f>IF(Q38=0,0,Q65-Q66-10)</f>
        <v>0</v>
      </c>
      <c r="R73" s="679"/>
    </row>
    <row r="74" spans="4:30" ht="15.75" x14ac:dyDescent="0.25">
      <c r="J74" s="1209" t="s">
        <v>357</v>
      </c>
      <c r="K74" s="1210" t="e">
        <f>$E$14*K66+(1-$E$14)*IF(L52=1,K52/K61*(K65-10),K75+5+K78)</f>
        <v>#DIV/0!</v>
      </c>
      <c r="L74" s="1293"/>
      <c r="M74" s="1293"/>
      <c r="N74" s="1210" t="e">
        <f>E14*N66+(1-E14)*(N65-10)*MAX(N52,N53,N54,N55)/N61</f>
        <v>#DIV/0!</v>
      </c>
      <c r="O74" s="1210" t="e">
        <f>N65-10-N74</f>
        <v>#DIV/0!</v>
      </c>
      <c r="P74" s="1293"/>
      <c r="Q74" s="1210" t="e">
        <f>$E$14*Q66+(1-$E$14)*IF(R52=1,Q52/Q61*(Q65-10),Q75+5+Q78)</f>
        <v>#DIV/0!</v>
      </c>
      <c r="R74" s="828"/>
      <c r="T74" s="399"/>
    </row>
    <row r="75" spans="4:30" ht="15.75" x14ac:dyDescent="0.25">
      <c r="J75" s="1211" t="s">
        <v>1299</v>
      </c>
      <c r="K75" s="1108" t="e">
        <f>$E$14*K67+(1-$E$14)*IF(L53=1,K53/K61*(K65-15),(K74-5)*K53/(K53+K56))</f>
        <v>#DIV/0!</v>
      </c>
      <c r="L75" s="1333"/>
      <c r="M75" s="1333"/>
      <c r="N75" s="1294" t="e">
        <f>N74</f>
        <v>#DIV/0!</v>
      </c>
      <c r="O75" s="1108" t="e">
        <f>O74</f>
        <v>#DIV/0!</v>
      </c>
      <c r="P75" s="1333"/>
      <c r="Q75" s="1108" t="e">
        <f>$E$14*Q67+(1-$E$14)*IF(R53=1,Q53/Q61*(Q65-15),(Q74-5)*Q53/(Q53+Q56))</f>
        <v>#DIV/0!</v>
      </c>
      <c r="R75" s="833"/>
      <c r="T75" s="399"/>
    </row>
    <row r="76" spans="4:30" ht="16.5" thickBot="1" x14ac:dyDescent="0.3">
      <c r="J76" s="1213" t="s">
        <v>1301</v>
      </c>
      <c r="K76" s="1327">
        <v>0</v>
      </c>
      <c r="L76" s="1334"/>
      <c r="M76" s="1334"/>
      <c r="N76" s="1214" t="e">
        <f>N74</f>
        <v>#DIV/0!</v>
      </c>
      <c r="O76" s="1214" t="e">
        <f>O74</f>
        <v>#DIV/0!</v>
      </c>
      <c r="P76" s="1334"/>
      <c r="Q76" s="1327">
        <v>0</v>
      </c>
      <c r="R76" s="1216"/>
    </row>
    <row r="77" spans="4:30" ht="16.5" thickBot="1" x14ac:dyDescent="0.3">
      <c r="G77" s="1806" t="s">
        <v>121</v>
      </c>
      <c r="H77" s="1807"/>
      <c r="J77" s="1217" t="s">
        <v>1300</v>
      </c>
      <c r="K77" s="1220">
        <f>$E$14*K69+(1-$E$14)*IF(K34=0,0,K75+5+IF(K38=0,K80,K81))</f>
        <v>0</v>
      </c>
      <c r="L77" s="1335"/>
      <c r="M77" s="1335"/>
      <c r="N77" s="1336" t="e">
        <f>N74</f>
        <v>#DIV/0!</v>
      </c>
      <c r="O77" s="1220" t="e">
        <f>O74</f>
        <v>#DIV/0!</v>
      </c>
      <c r="P77" s="1335"/>
      <c r="Q77" s="1220">
        <f>$E$14*Q69+(1-$E$14)*IF(Q34=0,0,Q75+5+IF(Q38=0,Q80,Q81))</f>
        <v>0</v>
      </c>
      <c r="R77" s="1221"/>
    </row>
    <row r="78" spans="4:30" x14ac:dyDescent="0.25">
      <c r="J78" s="1211" t="s">
        <v>361</v>
      </c>
      <c r="K78" s="1294" t="e">
        <f>$E$14*K70+(1-$E$14)*IF(L53=1,K56/K61*(K65-15),(K74-5)*K56/(K56+K53))</f>
        <v>#DIV/0!</v>
      </c>
      <c r="L78" s="1337"/>
      <c r="M78" s="1337"/>
      <c r="N78" s="1338"/>
      <c r="O78" s="1338"/>
      <c r="P78" s="1337"/>
      <c r="Q78" s="1294" t="e">
        <f>$E$14*Q70+(1-$E$14)*IF(R53=1,Q56/Q61*(Q65-15),(Q74-5)*Q56/(Q56+Q53))</f>
        <v>#DIV/0!</v>
      </c>
      <c r="R78" s="833"/>
    </row>
    <row r="79" spans="4:30" ht="15.75" x14ac:dyDescent="0.25">
      <c r="J79" s="1217" t="s">
        <v>362</v>
      </c>
      <c r="K79" s="1339">
        <v>0</v>
      </c>
      <c r="L79" s="1340"/>
      <c r="M79" s="1340"/>
      <c r="N79" s="1162"/>
      <c r="O79" s="1289"/>
      <c r="P79" s="1340"/>
      <c r="Q79" s="1339">
        <v>0</v>
      </c>
      <c r="R79" s="1221"/>
    </row>
    <row r="80" spans="4:30" ht="15.75" x14ac:dyDescent="0.25">
      <c r="J80" s="1211" t="s">
        <v>363</v>
      </c>
      <c r="K80" s="1108" t="e">
        <f>$E$14*K72+(1-$E$14)*IF(K38&gt;0,K81+K78+5,MAX(K58/K61*(K65-15),K65-K74-10))</f>
        <v>#DIV/0!</v>
      </c>
      <c r="L80" s="1306"/>
      <c r="M80" s="1337"/>
      <c r="N80" s="1307"/>
      <c r="O80" s="1307"/>
      <c r="P80" s="1308"/>
      <c r="Q80" s="1108" t="e">
        <f>$E$14*Q72+(1-$E$14)*IF(Q38&gt;0,Q81+Q78+5,MAX(Q58/Q61*(Q65-15),Q65-Q74-10))</f>
        <v>#DIV/0!</v>
      </c>
      <c r="R80" s="1231"/>
    </row>
    <row r="81" spans="5:20" ht="16.5" thickBot="1" x14ac:dyDescent="0.3">
      <c r="J81" s="1232" t="s">
        <v>364</v>
      </c>
      <c r="K81" s="1108">
        <f>$E$14*K73+(1-$E$14)*(IF(K38=0,0,K59/K61*(K65-15)))</f>
        <v>0</v>
      </c>
      <c r="L81" s="1337"/>
      <c r="M81" s="1337"/>
      <c r="N81" s="1338"/>
      <c r="O81" s="1338"/>
      <c r="P81" s="1337"/>
      <c r="Q81" s="1108">
        <f>$E$14*Q73+(1-$E$14)*(IF(Q38=0,0,Q59/Q61*(Q65-15)))</f>
        <v>0</v>
      </c>
      <c r="R81" s="835"/>
    </row>
    <row r="82" spans="5:20" x14ac:dyDescent="0.25">
      <c r="J82" s="560" t="s">
        <v>366</v>
      </c>
      <c r="K82" s="712" t="e">
        <f>K52/(K74/K65)</f>
        <v>#DIV/0!</v>
      </c>
      <c r="L82" s="658"/>
      <c r="M82" s="658"/>
      <c r="N82" s="886" t="e">
        <f t="shared" ref="N82:O85" si="6">N52/(N74/$N$65)</f>
        <v>#DIV/0!</v>
      </c>
      <c r="O82" s="886" t="e">
        <f t="shared" si="6"/>
        <v>#DIV/0!</v>
      </c>
      <c r="P82" s="658"/>
      <c r="Q82" s="712" t="e">
        <f>Q52/(Q74/Q65)</f>
        <v>#DIV/0!</v>
      </c>
      <c r="R82" s="561"/>
    </row>
    <row r="83" spans="5:20" x14ac:dyDescent="0.25">
      <c r="J83" s="1153" t="s">
        <v>1302</v>
      </c>
      <c r="K83" s="1181" t="e">
        <f>K53/(K75/K65)</f>
        <v>#DIV/0!</v>
      </c>
      <c r="L83" s="328"/>
      <c r="M83" s="328"/>
      <c r="N83" s="1233" t="e">
        <f t="shared" si="6"/>
        <v>#DIV/0!</v>
      </c>
      <c r="O83" s="1233" t="e">
        <f t="shared" si="6"/>
        <v>#DIV/0!</v>
      </c>
      <c r="P83" s="328"/>
      <c r="Q83" s="1181" t="e">
        <f>Q53/(Q75/$Q$65)</f>
        <v>#DIV/0!</v>
      </c>
      <c r="R83" s="1196"/>
      <c r="T83" s="399"/>
    </row>
    <row r="84" spans="5:20" x14ac:dyDescent="0.25">
      <c r="J84" s="1156" t="s">
        <v>1303</v>
      </c>
      <c r="K84" s="1235"/>
      <c r="L84" s="1177"/>
      <c r="M84" s="1177"/>
      <c r="N84" s="1234" t="e">
        <f t="shared" si="6"/>
        <v>#DIV/0!</v>
      </c>
      <c r="O84" s="1234" t="e">
        <f t="shared" si="6"/>
        <v>#DIV/0!</v>
      </c>
      <c r="P84" s="1177"/>
      <c r="Q84" s="1235"/>
      <c r="R84" s="1199"/>
    </row>
    <row r="85" spans="5:20" x14ac:dyDescent="0.25">
      <c r="J85" s="1153" t="s">
        <v>1304</v>
      </c>
      <c r="K85" s="1181">
        <f>IF(K34=0,0,K55/(K77/K65))</f>
        <v>0</v>
      </c>
      <c r="L85" s="328"/>
      <c r="M85" s="328"/>
      <c r="N85" s="1233" t="e">
        <f t="shared" si="6"/>
        <v>#DIV/0!</v>
      </c>
      <c r="O85" s="1233" t="e">
        <f t="shared" si="6"/>
        <v>#DIV/0!</v>
      </c>
      <c r="P85" s="328"/>
      <c r="Q85" s="1181">
        <f>IF(Q34=0,0,Q55/(Q77/Q65))</f>
        <v>0</v>
      </c>
      <c r="R85" s="1196"/>
    </row>
    <row r="86" spans="5:20" x14ac:dyDescent="0.25">
      <c r="J86" s="1156" t="s">
        <v>370</v>
      </c>
      <c r="K86" s="1175" t="e">
        <f>K56/(K78/K65)</f>
        <v>#DIV/0!</v>
      </c>
      <c r="L86" s="1177"/>
      <c r="M86" s="1177"/>
      <c r="N86" s="1236"/>
      <c r="O86" s="1202"/>
      <c r="P86" s="1177"/>
      <c r="Q86" s="1175" t="e">
        <f>Q56/(Q78/Q65)</f>
        <v>#DIV/0!</v>
      </c>
      <c r="R86" s="1199"/>
    </row>
    <row r="87" spans="5:20" x14ac:dyDescent="0.25">
      <c r="J87" s="1153" t="s">
        <v>371</v>
      </c>
      <c r="K87" s="1179"/>
      <c r="L87" s="328"/>
      <c r="M87" s="328"/>
      <c r="N87" s="1237"/>
      <c r="O87" s="1200"/>
      <c r="P87" s="328"/>
      <c r="Q87" s="1179"/>
      <c r="R87" s="1196"/>
    </row>
    <row r="88" spans="5:20" x14ac:dyDescent="0.25">
      <c r="J88" s="1156" t="s">
        <v>372</v>
      </c>
      <c r="K88" s="309" t="e">
        <f>K58/(K80/K65)</f>
        <v>#DIV/0!</v>
      </c>
      <c r="L88" s="18"/>
      <c r="M88" s="18"/>
      <c r="N88" s="1238"/>
      <c r="O88" s="659"/>
      <c r="P88" s="18"/>
      <c r="Q88" s="309" t="e">
        <f>Q58/(Q80/$Q$65)</f>
        <v>#DIV/0!</v>
      </c>
      <c r="R88" s="570"/>
    </row>
    <row r="89" spans="5:20" ht="15.75" thickBot="1" x14ac:dyDescent="0.3">
      <c r="J89" s="19" t="s">
        <v>373</v>
      </c>
      <c r="K89" s="717">
        <f>IF(K38=0,0,K59/(K81/$K$65))</f>
        <v>0</v>
      </c>
      <c r="L89" s="663"/>
      <c r="M89" s="663"/>
      <c r="N89" s="1239"/>
      <c r="O89" s="805"/>
      <c r="P89" s="663"/>
      <c r="Q89" s="717">
        <f>IF(Q38=0,0,Q59/(Q81/$Q$65))</f>
        <v>0</v>
      </c>
      <c r="R89" s="666"/>
    </row>
    <row r="90" spans="5:20" x14ac:dyDescent="0.25">
      <c r="J90" s="17" t="s">
        <v>374</v>
      </c>
      <c r="K90" s="712" t="e">
        <f>MAX(0,(1-VLOOKUP($E$15,$E$97:$F$102,2,FALSE)*K74/$K$65)/(1-K74/$K$65))</f>
        <v>#N/A</v>
      </c>
      <c r="L90" s="658"/>
      <c r="M90" s="658"/>
      <c r="N90" s="886">
        <v>1</v>
      </c>
      <c r="O90" s="886">
        <v>1</v>
      </c>
      <c r="P90" s="658"/>
      <c r="Q90" s="712">
        <v>1</v>
      </c>
      <c r="R90" s="561"/>
    </row>
    <row r="91" spans="5:20" x14ac:dyDescent="0.25">
      <c r="J91" s="1153" t="s">
        <v>1305</v>
      </c>
      <c r="K91" s="1181">
        <v>1</v>
      </c>
      <c r="L91" s="328"/>
      <c r="M91" s="328"/>
      <c r="N91" s="1181" t="e">
        <f>MAX(0,(1-VLOOKUP($E$15,$E$97:$F$102,2,FALSE)*N75/$N$65)/(1-N75/$N$65))</f>
        <v>#N/A</v>
      </c>
      <c r="O91" s="1233">
        <v>1</v>
      </c>
      <c r="P91" s="328"/>
      <c r="Q91" s="1181">
        <v>1</v>
      </c>
      <c r="R91" s="1196"/>
    </row>
    <row r="92" spans="5:20" x14ac:dyDescent="0.25">
      <c r="J92" s="1156" t="s">
        <v>1306</v>
      </c>
      <c r="K92" s="1235">
        <v>1</v>
      </c>
      <c r="L92" s="1177"/>
      <c r="M92" s="1177"/>
      <c r="N92" s="1234">
        <v>1</v>
      </c>
      <c r="O92" s="1234">
        <v>1</v>
      </c>
      <c r="P92" s="1177"/>
      <c r="Q92" s="1235">
        <v>0.7</v>
      </c>
      <c r="R92" s="1199"/>
    </row>
    <row r="93" spans="5:20" ht="15.75" thickBot="1" x14ac:dyDescent="0.3">
      <c r="J93" s="1153" t="s">
        <v>1307</v>
      </c>
      <c r="K93" s="1181">
        <v>1</v>
      </c>
      <c r="L93" s="328"/>
      <c r="M93" s="328"/>
      <c r="N93" s="1181" t="e">
        <f>MAX(0,(1-VLOOKUP($E$15,$E$97:$F$102,2,FALSE)*N77/$N$65)/(1-N77/$N$65))</f>
        <v>#N/A</v>
      </c>
      <c r="O93" s="1233">
        <v>1</v>
      </c>
      <c r="P93" s="328"/>
      <c r="Q93" s="1181">
        <v>1</v>
      </c>
      <c r="R93" s="1196"/>
    </row>
    <row r="94" spans="5:20" x14ac:dyDescent="0.25">
      <c r="J94" s="1156" t="s">
        <v>378</v>
      </c>
      <c r="K94" s="712" t="e">
        <f>MAX(0,(1-VLOOKUP($E$15,$E$97:$F$102,2,FALSE)*K78/$K$65)/(1-K78/$K$65))</f>
        <v>#N/A</v>
      </c>
      <c r="L94" s="1177"/>
      <c r="M94" s="1177"/>
      <c r="N94" s="1236"/>
      <c r="O94" s="1202"/>
      <c r="P94" s="1177"/>
      <c r="Q94" s="1175">
        <v>1</v>
      </c>
      <c r="R94" s="1199"/>
    </row>
    <row r="95" spans="5:20" ht="15.75" thickBot="1" x14ac:dyDescent="0.3">
      <c r="J95" s="1153" t="s">
        <v>379</v>
      </c>
      <c r="K95" s="1179">
        <v>0.7</v>
      </c>
      <c r="L95" s="328"/>
      <c r="M95" s="328"/>
      <c r="N95" s="1237"/>
      <c r="O95" s="1200"/>
      <c r="P95" s="328"/>
      <c r="Q95" s="1179">
        <v>1</v>
      </c>
      <c r="R95" s="1196"/>
    </row>
    <row r="96" spans="5:20" x14ac:dyDescent="0.25">
      <c r="E96" s="315" t="s">
        <v>946</v>
      </c>
      <c r="F96" s="316" t="s">
        <v>948</v>
      </c>
      <c r="J96" s="1156" t="s">
        <v>380</v>
      </c>
      <c r="K96" s="309">
        <v>1</v>
      </c>
      <c r="L96" s="18"/>
      <c r="M96" s="18"/>
      <c r="N96" s="1238"/>
      <c r="O96" s="659"/>
      <c r="P96" s="18"/>
      <c r="Q96" s="309">
        <v>1</v>
      </c>
      <c r="R96" s="570"/>
    </row>
    <row r="97" spans="5:22" ht="15.75" thickBot="1" x14ac:dyDescent="0.3">
      <c r="E97" s="317">
        <v>1</v>
      </c>
      <c r="F97" s="318">
        <v>0.33</v>
      </c>
      <c r="J97" s="19" t="s">
        <v>381</v>
      </c>
      <c r="K97" s="717">
        <v>1</v>
      </c>
      <c r="L97" s="663"/>
      <c r="M97" s="663"/>
      <c r="N97" s="1239"/>
      <c r="O97" s="805"/>
      <c r="P97" s="663"/>
      <c r="Q97" s="717">
        <v>1</v>
      </c>
      <c r="R97" s="666"/>
      <c r="S97" s="1664"/>
      <c r="T97" s="1664"/>
      <c r="U97" s="1664"/>
    </row>
    <row r="98" spans="5:22" ht="15.75" thickBot="1" x14ac:dyDescent="0.3">
      <c r="E98" s="317">
        <v>2</v>
      </c>
      <c r="F98" s="318">
        <v>0.67</v>
      </c>
      <c r="J98" s="461"/>
      <c r="K98" s="1688" t="s">
        <v>950</v>
      </c>
      <c r="L98" s="1689"/>
      <c r="M98" s="1341" t="s">
        <v>338</v>
      </c>
      <c r="N98" s="418" t="s">
        <v>339</v>
      </c>
      <c r="O98" s="418" t="s">
        <v>340</v>
      </c>
      <c r="P98" s="1024"/>
      <c r="Q98" s="1245" t="str">
        <f>Q28</f>
        <v>QRI  LEG ON 4-8</v>
      </c>
      <c r="R98" s="526"/>
    </row>
    <row r="99" spans="5:22" x14ac:dyDescent="0.25">
      <c r="E99" s="317">
        <v>3</v>
      </c>
      <c r="F99" s="318">
        <v>1</v>
      </c>
      <c r="J99" s="17" t="s">
        <v>382</v>
      </c>
      <c r="K99" s="308" t="e">
        <f>K90*0.5*$K$65*(1-K74/$K$65)^2/(1-MIN(1,K82)*K74/K65)+225*(K82-1+SQRT((K82-1)^2+16*K82/(K40/K82)))</f>
        <v>#N/A</v>
      </c>
      <c r="L99" s="308"/>
      <c r="M99" s="308"/>
      <c r="N99" s="308" t="e">
        <f>N90*0.5*N65*(1-N74/N65)^2/(1-N52)+225*(N82-1+SQRT((N82-1)^2+16*N82/(N40/N82)))</f>
        <v>#DIV/0!</v>
      </c>
      <c r="O99" s="308" t="e">
        <f>O90*0.5*O65*(1-O74/O65)^2/(1-O52)+225*(O82-1+SQRT((O82-1)^2+16*O82/(O40/O82)))</f>
        <v>#DIV/0!</v>
      </c>
      <c r="P99" s="308"/>
      <c r="Q99" s="308" t="e">
        <f>Q90*0.5*$K$65*(1-Q74/$K$65)^2/(1-MIN(1,Q82)*Q74/Q65)+225*(Q82-1+SQRT((Q82-1)^2+16*Q82/(Q40/Q82)))</f>
        <v>#DIV/0!</v>
      </c>
      <c r="R99" s="570"/>
      <c r="S99" s="18"/>
      <c r="T99" s="18"/>
      <c r="U99" s="18"/>
      <c r="V99" s="18"/>
    </row>
    <row r="100" spans="5:22" x14ac:dyDescent="0.25">
      <c r="E100" s="317">
        <v>4</v>
      </c>
      <c r="F100" s="318">
        <v>1.33</v>
      </c>
      <c r="J100" s="17" t="s">
        <v>383</v>
      </c>
      <c r="K100" s="308" t="e">
        <f>K91*0.5*$K$65*(1-K75/$K$65)^2/(1-MIN(1,K83)*K75/K65)+225*(K83-1+SQRT((K83-1)^2+16*K83/(K41/K83)))</f>
        <v>#DIV/0!</v>
      </c>
      <c r="L100" s="308"/>
      <c r="M100" s="308"/>
      <c r="N100" s="308" t="e">
        <f>N91*0.5*N65*(1-N75/N65)^2/(1-N53)+225*(N83-1+SQRT((N83-1)^2+16*N83/(N41/N83)))</f>
        <v>#N/A</v>
      </c>
      <c r="O100" s="308" t="e">
        <f>O91*0.5*O65*(1-O75/O65)^2/(1-O53)+225*(O83-1+SQRT((O83-1)^2+16*O83/(O41/O83)))</f>
        <v>#DIV/0!</v>
      </c>
      <c r="P100" s="308"/>
      <c r="Q100" s="308" t="e">
        <f>Q91*0.5*$K$65*(1-Q75/$K$65)^2/(1-MIN(1,Q83)*Q75/Q65)+225*(Q83-1+SQRT((Q83-1)^2+16*Q83/(Q41/Q83)))</f>
        <v>#DIV/0!</v>
      </c>
      <c r="R100" s="570"/>
      <c r="S100" s="18"/>
      <c r="T100" s="18"/>
      <c r="U100" s="18"/>
      <c r="V100" s="18"/>
    </row>
    <row r="101" spans="5:22" x14ac:dyDescent="0.25">
      <c r="E101" s="317">
        <v>5</v>
      </c>
      <c r="F101" s="318">
        <v>1.67</v>
      </c>
      <c r="J101" s="1156" t="s">
        <v>1308</v>
      </c>
      <c r="K101" s="1249"/>
      <c r="L101" s="1246"/>
      <c r="M101" s="1246"/>
      <c r="N101" s="1246">
        <f>IF(N33=0,0,0.5*N92*N65*(1-N76/N65)^2/(1-N54)+225*(N84-1+SQRT((N84-1)^2+16*N84/(N42/N84))))</f>
        <v>0</v>
      </c>
      <c r="O101" s="1246">
        <f>IF(O33=0,0,0.5*O92*O65*(1-O76/O65)^2/(1-O54)+225*(O84-1+SQRT((O84-1)^2+16*O84/(O42/O84))))</f>
        <v>0</v>
      </c>
      <c r="P101" s="1246"/>
      <c r="Q101" s="1249"/>
      <c r="R101" s="1199"/>
      <c r="S101" s="18"/>
      <c r="T101" s="18"/>
      <c r="U101" s="18"/>
      <c r="V101" s="18"/>
    </row>
    <row r="102" spans="5:22" ht="15.75" thickBot="1" x14ac:dyDescent="0.3">
      <c r="E102" s="330">
        <v>6</v>
      </c>
      <c r="F102" s="331">
        <v>2</v>
      </c>
      <c r="J102" s="1153" t="s">
        <v>1309</v>
      </c>
      <c r="K102" s="1246">
        <f>IF(K34=0,0,K93*0.5*$K$65*(1-K77/$K$65)^2/(1-MIN(1,K85)*K77/K65)+225*(K85-1+SQRT((K85-1)^2+16*K85/(K43/K85))))</f>
        <v>0</v>
      </c>
      <c r="L102" s="1248"/>
      <c r="M102" s="1248"/>
      <c r="N102" s="1248">
        <f>IF(N34=0,0,0.5*N93*N65*(1-N77/N65)^2/(1-N55)+225*(N85-1+SQRT((N85-1)^2+16*N85/(N43/N85))))</f>
        <v>0</v>
      </c>
      <c r="O102" s="1248">
        <f>IF(O34=0,0,0.5*O93*O65*(1-O77/O65)^2/(1-O55)+225*(O85-1+SQRT((O85-1)^2+16*O85/(O43/O85))))</f>
        <v>0</v>
      </c>
      <c r="P102" s="1248"/>
      <c r="Q102" s="1246">
        <f>IF(Q34=0,0,Q93*0.5*$K$65*(1-Q77/$K$65)^2/(1-MIN(1,Q85)*Q77/Q65)+225*(Q85-1+SQRT((Q85-1)^2+16*Q85/(Q43/Q85))))</f>
        <v>0</v>
      </c>
      <c r="R102" s="1196"/>
      <c r="S102" s="18"/>
      <c r="T102" s="18"/>
      <c r="U102" s="18"/>
      <c r="V102" s="18"/>
    </row>
    <row r="103" spans="5:22" x14ac:dyDescent="0.25">
      <c r="J103" s="1156" t="s">
        <v>386</v>
      </c>
      <c r="K103" s="1246" t="e">
        <f>K94*0.5*$K$65*(1-K78/$K$65)^2/(1-MIN(1,K86)*K78/K65)+20.725*(K86-1+SQRT((K86-1)^2+16*K86/(K44/K86)))</f>
        <v>#N/A</v>
      </c>
      <c r="L103" s="1246"/>
      <c r="M103" s="1246"/>
      <c r="N103" s="1249">
        <f>IF(N32=0,0,N77*0.5*N65*(1-N74/N65)^2/(1-N56)+225*(N86-1+SQRT((N86-1)^2+16*N86/(N46/N86))))</f>
        <v>0</v>
      </c>
      <c r="O103" s="1249"/>
      <c r="P103" s="1246"/>
      <c r="Q103" s="1246" t="e">
        <f>Q94*0.5*$K$65*(1-Q78/$K$65)^2/(1-MIN(1,Q86)*Q78/Q65)+20.725*(Q86-1+SQRT((Q86-1)^2+16*Q86/(Q44/Q86)))</f>
        <v>#DIV/0!</v>
      </c>
      <c r="R103" s="1199"/>
      <c r="S103" s="18"/>
      <c r="T103" s="18"/>
      <c r="U103" s="18"/>
      <c r="V103" s="18"/>
    </row>
    <row r="104" spans="5:22" x14ac:dyDescent="0.25">
      <c r="J104" s="1153" t="s">
        <v>387</v>
      </c>
      <c r="K104" s="1247"/>
      <c r="L104" s="1248"/>
      <c r="M104" s="1248"/>
      <c r="N104" s="1247">
        <f>IF(N32=0,0,N77*0.5*N65*(1-N76/N65)^2/(1-N57)+225*(N87-1+SQRT((N87-1)^2+16*N87/(N47/N87))))</f>
        <v>0</v>
      </c>
      <c r="O104" s="1247"/>
      <c r="P104" s="1248"/>
      <c r="Q104" s="1247"/>
      <c r="R104" s="1196"/>
      <c r="S104" s="18"/>
      <c r="T104" s="18"/>
      <c r="U104" s="18"/>
      <c r="V104" s="18"/>
    </row>
    <row r="105" spans="5:22" x14ac:dyDescent="0.25">
      <c r="J105" s="1156" t="s">
        <v>388</v>
      </c>
      <c r="K105" s="1246" t="e">
        <f>K96*0.5*$K$65*(1-K80/$K$65)^2/(1-MIN(1,K88)*K80/K65)+225*(K88-1+SQRT((K88-1)^2+16*K88/(K46/K88)))</f>
        <v>#DIV/0!</v>
      </c>
      <c r="L105" s="1246"/>
      <c r="M105" s="1246"/>
      <c r="N105" s="1249">
        <f>IF(N33=0,0,0.5*N65*(1-N76/N65)^2/(1-N58)+225*(N88-1+SQRT((N88-1)^2+16*N88/(#REF!/N88))))</f>
        <v>0</v>
      </c>
      <c r="O105" s="1249"/>
      <c r="P105" s="1246"/>
      <c r="Q105" s="1246" t="e">
        <f>Q96*0.5*$K$65*(1-Q80/$K$65)^2/(1-MIN(1,Q88)*Q80/Q65)+225*(Q88-1+SQRT((Q88-1)^2+16*Q88/(Q46/Q88)))</f>
        <v>#DIV/0!</v>
      </c>
      <c r="R105" s="1199"/>
      <c r="S105" s="18"/>
      <c r="T105" s="18"/>
      <c r="U105" s="18"/>
      <c r="V105" s="18"/>
    </row>
    <row r="106" spans="5:22" ht="15.75" thickBot="1" x14ac:dyDescent="0.3">
      <c r="J106" s="19" t="s">
        <v>389</v>
      </c>
      <c r="K106" s="718">
        <f>IF(K38=0,0,K97*0.5*$K$65*(1-K81/$K$65)^2/(1-MIN(K89,1)*K81/K65)+225*(K89-1+SQRT((K89-1)^2+16*K89/(K47/K89))))</f>
        <v>0</v>
      </c>
      <c r="L106" s="718"/>
      <c r="M106" s="718"/>
      <c r="N106" s="800">
        <f>IF(N33=0,0,0.5*N65*(1-N76/N65)^2/(1-N59)+225*(N89-1+SQRT((N89-1)^2+16*N89/(#REF!/N89))))</f>
        <v>0</v>
      </c>
      <c r="O106" s="800"/>
      <c r="P106" s="718"/>
      <c r="Q106" s="718">
        <f>IF(Q38=0,0,Q97*0.5*$K$65*(1-Q81/$K$65)^2/(1-MIN(Q89,1)*Q81/Q65)+225*(Q89-1+SQRT((Q89-1)^2+16*Q89/(Q47/Q89))))</f>
        <v>0</v>
      </c>
      <c r="R106" s="666"/>
      <c r="S106" s="18"/>
      <c r="T106" s="18"/>
      <c r="U106" s="18"/>
      <c r="V106" s="18"/>
    </row>
    <row r="107" spans="5:22" ht="15.75" thickBot="1" x14ac:dyDescent="0.3">
      <c r="J107" s="19"/>
      <c r="K107" s="718"/>
      <c r="L107" s="718"/>
      <c r="M107" s="718"/>
      <c r="N107" s="718"/>
      <c r="O107" s="718"/>
      <c r="P107" s="718"/>
      <c r="Q107" s="718"/>
      <c r="R107" s="666"/>
      <c r="S107" s="18"/>
      <c r="T107" s="18"/>
      <c r="U107" s="18"/>
      <c r="V107" s="18"/>
    </row>
    <row r="108" spans="5:22" ht="19.5" thickBot="1" x14ac:dyDescent="0.35">
      <c r="J108" s="1250" t="s">
        <v>138</v>
      </c>
      <c r="K108" s="1251" t="e">
        <f>SUMPRODUCT(K99:K106,K40:K47)/SUM(K40:K47)</f>
        <v>#N/A</v>
      </c>
      <c r="L108" s="1252"/>
      <c r="M108" s="1252"/>
      <c r="N108" s="1787" t="e">
        <f>SUMPRODUCT(N99:O102,N40:O43)/SUM(N40:O43)</f>
        <v>#DIV/0!</v>
      </c>
      <c r="O108" s="1788"/>
      <c r="P108" s="1252"/>
      <c r="Q108" s="1251" t="e">
        <f>SUMPRODUCT(Q99:Q106,Q40:Q47)/SUM(Q40:Q47)</f>
        <v>#DIV/0!</v>
      </c>
      <c r="R108" s="1253"/>
      <c r="S108" s="624"/>
      <c r="T108" s="1789"/>
      <c r="U108" s="1789"/>
      <c r="V108" s="624"/>
    </row>
    <row r="109" spans="5:22" ht="15.75" thickBot="1" x14ac:dyDescent="0.3">
      <c r="K109" s="20"/>
      <c r="L109" s="308"/>
      <c r="M109" s="308"/>
      <c r="N109" s="20"/>
      <c r="O109" s="308"/>
      <c r="P109" s="308"/>
      <c r="Q109" s="308"/>
      <c r="R109" s="308"/>
    </row>
    <row r="110" spans="5:22" ht="15.75" thickBot="1" x14ac:dyDescent="0.3">
      <c r="J110" s="560"/>
      <c r="K110" s="1688" t="s">
        <v>950</v>
      </c>
      <c r="L110" s="1689"/>
      <c r="M110" s="658"/>
      <c r="N110" s="777" t="s">
        <v>100</v>
      </c>
      <c r="O110" s="658"/>
      <c r="P110" s="658"/>
      <c r="Q110" s="1254" t="e">
        <f>Q40</f>
        <v>#DIV/0!</v>
      </c>
      <c r="R110" s="561"/>
    </row>
    <row r="111" spans="5:22" x14ac:dyDescent="0.25">
      <c r="J111" s="560" t="s">
        <v>390</v>
      </c>
      <c r="K111" s="731" t="e">
        <f>2*25*K99*(K40/K82)/(3600*K31)</f>
        <v>#N/A</v>
      </c>
      <c r="L111" s="731"/>
      <c r="M111" s="731"/>
      <c r="N111" s="731" t="e">
        <f>2*25*N99*(N40/N82)/(3600*N31)</f>
        <v>#DIV/0!</v>
      </c>
      <c r="O111" s="731" t="e">
        <f>2*25*O99*(O40/O82)/(3600*O31)</f>
        <v>#DIV/0!</v>
      </c>
      <c r="P111" s="731"/>
      <c r="Q111" s="731" t="e">
        <f>2*25*Q99*(Q40/Q82)/(3600*Q31)</f>
        <v>#DIV/0!</v>
      </c>
      <c r="R111" s="561"/>
    </row>
    <row r="112" spans="5:22" x14ac:dyDescent="0.25">
      <c r="J112" s="17" t="s">
        <v>1239</v>
      </c>
      <c r="K112" s="20" t="e">
        <f>2*25*K100*(K41/K83)/(3600*K32)</f>
        <v>#DIV/0!</v>
      </c>
      <c r="L112" s="20"/>
      <c r="M112" s="20"/>
      <c r="N112" s="20" t="e">
        <f>2*25*N100*(N41/N83)/(3600*N32)</f>
        <v>#N/A</v>
      </c>
      <c r="O112" s="20" t="e">
        <f>2*25*O100*(O41/O83)/(3600*O32)</f>
        <v>#DIV/0!</v>
      </c>
      <c r="P112" s="20"/>
      <c r="Q112" s="20" t="e">
        <f>2*25*Q100*(Q41/Q83)/(3600*Q32)</f>
        <v>#DIV/0!</v>
      </c>
      <c r="R112" s="570"/>
    </row>
    <row r="113" spans="10:18" x14ac:dyDescent="0.25">
      <c r="J113" s="1156" t="s">
        <v>1240</v>
      </c>
      <c r="K113" s="1163">
        <v>0</v>
      </c>
      <c r="L113" s="342"/>
      <c r="M113" s="342"/>
      <c r="N113" s="342">
        <f>IF(N33=0,0,2*25*N101*(N42/N84)/(3600*N33))</f>
        <v>0</v>
      </c>
      <c r="O113" s="342">
        <f>IF(O33=0,0,2*25*O101*(O42/O84)/(3600*O33))</f>
        <v>0</v>
      </c>
      <c r="P113" s="342"/>
      <c r="Q113" s="1163">
        <v>0</v>
      </c>
      <c r="R113" s="1199"/>
    </row>
    <row r="114" spans="10:18" x14ac:dyDescent="0.25">
      <c r="J114" s="1153" t="s">
        <v>1241</v>
      </c>
      <c r="K114" s="1154">
        <f>IF(K34=0,0,2*25*K102*(K44/K85)/3600)</f>
        <v>0</v>
      </c>
      <c r="L114" s="1154"/>
      <c r="M114" s="1154"/>
      <c r="N114" s="1154">
        <f>IF(N34=0,0,2*25*N102*(N43/N85)/(3600*N34))</f>
        <v>0</v>
      </c>
      <c r="O114" s="1154">
        <f>IF(O34=0,0,2*25*O102*(O43/O85)/(3600*O34))</f>
        <v>0</v>
      </c>
      <c r="P114" s="1154"/>
      <c r="Q114" s="1154">
        <f>IF(Q38=0,0,2*25*Q102*(Q44/Q85)/3600)</f>
        <v>0</v>
      </c>
      <c r="R114" s="1196"/>
    </row>
    <row r="115" spans="10:18" x14ac:dyDescent="0.25">
      <c r="J115" s="17" t="s">
        <v>394</v>
      </c>
      <c r="K115" s="1154" t="e">
        <f>2*25*K103*(K43/K86)/3600</f>
        <v>#N/A</v>
      </c>
      <c r="L115" s="20"/>
      <c r="M115" s="20"/>
      <c r="N115" s="504"/>
      <c r="O115" s="504"/>
      <c r="P115" s="20"/>
      <c r="Q115" s="1154" t="e">
        <f>2*25*Q103*(Q44/Q86)/3600</f>
        <v>#DIV/0!</v>
      </c>
      <c r="R115" s="570"/>
    </row>
    <row r="116" spans="10:18" x14ac:dyDescent="0.25">
      <c r="J116" s="1153" t="s">
        <v>395</v>
      </c>
      <c r="K116" s="504" t="e">
        <f>2*25*K104*(K45/K87)/(3600*K36)</f>
        <v>#DIV/0!</v>
      </c>
      <c r="L116" s="1154"/>
      <c r="M116" s="1154"/>
      <c r="N116" s="1162"/>
      <c r="O116" s="1162"/>
      <c r="P116" s="1154"/>
      <c r="Q116" s="504">
        <v>0</v>
      </c>
      <c r="R116" s="1196"/>
    </row>
    <row r="117" spans="10:18" x14ac:dyDescent="0.25">
      <c r="J117" s="1156" t="s">
        <v>396</v>
      </c>
      <c r="K117" s="20" t="e">
        <f>2*25*K105*(K46/K88)/(3600*K37)</f>
        <v>#DIV/0!</v>
      </c>
      <c r="L117" s="342"/>
      <c r="M117" s="342"/>
      <c r="N117" s="1163"/>
      <c r="O117" s="1163"/>
      <c r="P117" s="342"/>
      <c r="Q117" s="20" t="e">
        <f>2*25*Q105*(Q46/Q88)/(3600*Q37)</f>
        <v>#DIV/0!</v>
      </c>
      <c r="R117" s="1199"/>
    </row>
    <row r="118" spans="10:18" ht="15.75" thickBot="1" x14ac:dyDescent="0.3">
      <c r="J118" s="19" t="s">
        <v>397</v>
      </c>
      <c r="K118" s="671">
        <f>IF(K38=0,0,2*25*K106*(K47/K89)/(3600*K38))</f>
        <v>0</v>
      </c>
      <c r="L118" s="671"/>
      <c r="M118" s="671"/>
      <c r="N118" s="1164"/>
      <c r="O118" s="1164"/>
      <c r="P118" s="671"/>
      <c r="Q118" s="671">
        <f>IF(Q38=0,0,2*25*Q106*(Q47/Q89)/(3600*Q38))</f>
        <v>0</v>
      </c>
      <c r="R118" s="666"/>
    </row>
  </sheetData>
  <sheetProtection algorithmName="SHA-512" hashValue="KLHjTKFPjzIuoW2WgQuj0y7xZ8oIhlIIpHDtlO83LE6oyuYD2S84aW20gr0cqqfEL8hpT6OVlKYpDW0UZKxFNg==" saltValue="eXis0Ol0m06+oBbCF9+ipg==" spinCount="100000" sheet="1" objects="1" scenarios="1"/>
  <mergeCells count="34">
    <mergeCell ref="K110:L110"/>
    <mergeCell ref="N61:O61"/>
    <mergeCell ref="J62:R62"/>
    <mergeCell ref="G63:H63"/>
    <mergeCell ref="S67:T67"/>
    <mergeCell ref="S68:T68"/>
    <mergeCell ref="S69:T69"/>
    <mergeCell ref="G77:H77"/>
    <mergeCell ref="S97:U97"/>
    <mergeCell ref="K98:L98"/>
    <mergeCell ref="N108:O108"/>
    <mergeCell ref="T108:U108"/>
    <mergeCell ref="K48:L48"/>
    <mergeCell ref="N48:O48"/>
    <mergeCell ref="Q48:R48"/>
    <mergeCell ref="G13:H13"/>
    <mergeCell ref="G20:H20"/>
    <mergeCell ref="G21:H21"/>
    <mergeCell ref="L26:O26"/>
    <mergeCell ref="K28:L28"/>
    <mergeCell ref="N28:O28"/>
    <mergeCell ref="Q28:R28"/>
    <mergeCell ref="K29:L29"/>
    <mergeCell ref="N29:O29"/>
    <mergeCell ref="Q29:R29"/>
    <mergeCell ref="B38:H38"/>
    <mergeCell ref="J28:J30"/>
    <mergeCell ref="G7:H7"/>
    <mergeCell ref="X7:Y7"/>
    <mergeCell ref="C3:E3"/>
    <mergeCell ref="J3:V3"/>
    <mergeCell ref="E5:I5"/>
    <mergeCell ref="G6:I6"/>
    <mergeCell ref="X6:Y6"/>
  </mergeCells>
  <conditionalFormatting sqref="Q107 K107">
    <cfRule type="colorScale" priority="14">
      <colorScale>
        <cfvo type="min"/>
        <cfvo type="percentile" val="50"/>
        <cfvo type="max"/>
        <color rgb="FF63BE7B"/>
        <color rgb="FFFFEB84"/>
        <color rgb="FFF8696B"/>
      </colorScale>
    </cfRule>
  </conditionalFormatting>
  <conditionalFormatting sqref="N109 K109">
    <cfRule type="colorScale" priority="13">
      <colorScale>
        <cfvo type="min"/>
        <cfvo type="percentile" val="50"/>
        <cfvo type="max"/>
        <color rgb="FF63BE7B"/>
        <color rgb="FFFFEB84"/>
        <color rgb="FFF8696B"/>
      </colorScale>
    </cfRule>
  </conditionalFormatting>
  <conditionalFormatting sqref="K61:N61 P61:Q61 K63:Q63">
    <cfRule type="containsText" dxfId="37" priority="16" operator="containsText" text="OVERCAP">
      <formula>NOT(ISERROR(SEARCH("OVERCAP",K61)))</formula>
    </cfRule>
  </conditionalFormatting>
  <conditionalFormatting sqref="K82:Q89">
    <cfRule type="cellIs" dxfId="36" priority="1" operator="greaterThan">
      <formula>1</formula>
    </cfRule>
  </conditionalFormatting>
  <conditionalFormatting sqref="K99:Q106">
    <cfRule type="colorScale" priority="3">
      <colorScale>
        <cfvo type="min"/>
        <cfvo type="percentile" val="50"/>
        <cfvo type="max"/>
        <color rgb="FF63BE7B"/>
        <color rgb="FFFFEB84"/>
        <color rgb="FFF8696B"/>
      </colorScale>
    </cfRule>
  </conditionalFormatting>
  <conditionalFormatting sqref="K111:Q118">
    <cfRule type="cellIs" dxfId="35" priority="59" operator="greaterThan">
      <formula>$E$10</formula>
    </cfRule>
  </conditionalFormatting>
  <conditionalFormatting sqref="K16:V16">
    <cfRule type="colorScale" priority="12">
      <colorScale>
        <cfvo type="min"/>
        <cfvo type="percentile" val="50"/>
        <cfvo type="max"/>
        <color rgb="FF63BE7B"/>
        <color rgb="FFFFEB84"/>
        <color rgb="FFF8696B"/>
      </colorScale>
    </cfRule>
  </conditionalFormatting>
  <conditionalFormatting sqref="K18:V18">
    <cfRule type="cellIs" dxfId="34" priority="10" operator="equal">
      <formula>"F"</formula>
    </cfRule>
    <cfRule type="colorScale" priority="11">
      <colorScale>
        <cfvo type="min"/>
        <cfvo type="percentile" val="50"/>
        <cfvo type="max"/>
        <color rgb="FF63BE7B"/>
        <color rgb="FFFFEB84"/>
        <color rgb="FFF8696B"/>
      </colorScale>
    </cfRule>
  </conditionalFormatting>
  <conditionalFormatting sqref="O23:V23">
    <cfRule type="colorScale" priority="7">
      <colorScale>
        <cfvo type="min"/>
        <cfvo type="percentile" val="50"/>
        <cfvo type="max"/>
        <color rgb="FF63BE7B"/>
        <color rgb="FFFFEB84"/>
        <color rgb="FFF8696B"/>
      </colorScale>
    </cfRule>
  </conditionalFormatting>
  <conditionalFormatting sqref="Q64">
    <cfRule type="cellIs" dxfId="33" priority="8" operator="equal">
      <formula>0</formula>
    </cfRule>
    <cfRule type="cellIs" dxfId="32" priority="57" operator="greaterThan">
      <formula>$E$11</formula>
    </cfRule>
  </conditionalFormatting>
  <conditionalFormatting sqref="S99:V106">
    <cfRule type="colorScale" priority="2">
      <colorScale>
        <cfvo type="min"/>
        <cfvo type="percentile" val="50"/>
        <cfvo type="max"/>
        <color rgb="FF63BE7B"/>
        <color rgb="FFFFEB84"/>
        <color rgb="FFF8696B"/>
      </colorScale>
    </cfRule>
  </conditionalFormatting>
  <conditionalFormatting sqref="T102:U103 S99:V100 S105:V106 S104:U104 S101:U101">
    <cfRule type="colorScale" priority="5">
      <colorScale>
        <cfvo type="min"/>
        <cfvo type="percentile" val="50"/>
        <cfvo type="max"/>
        <color rgb="FF63BE7B"/>
        <color rgb="FFFFEB84"/>
        <color rgb="FFF8696B"/>
      </colorScale>
    </cfRule>
  </conditionalFormatting>
  <conditionalFormatting sqref="V20">
    <cfRule type="containsText" dxfId="31" priority="9" operator="containsText" text="YES">
      <formula>NOT(ISERROR(SEARCH("YES",V20)))</formula>
    </cfRule>
  </conditionalFormatting>
  <conditionalFormatting sqref="V101 V104">
    <cfRule type="colorScale" priority="4">
      <colorScale>
        <cfvo type="min"/>
        <cfvo type="percentile" val="50"/>
        <cfvo type="max"/>
        <color rgb="FF63BE7B"/>
        <color rgb="FFFFEB84"/>
        <color rgb="FFF8696B"/>
      </colorScale>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D119"/>
  <sheetViews>
    <sheetView topLeftCell="A2" workbookViewId="0">
      <selection activeCell="J26" sqref="J26"/>
    </sheetView>
  </sheetViews>
  <sheetFormatPr defaultColWidth="8.85546875" defaultRowHeight="15" x14ac:dyDescent="0.25"/>
  <cols>
    <col min="1" max="1" width="2" customWidth="1"/>
    <col min="2" max="2" width="1.28515625" hidden="1" customWidth="1"/>
    <col min="4" max="4" width="49.42578125" customWidth="1"/>
    <col min="5" max="5" width="12.7109375" customWidth="1"/>
    <col min="6" max="6" width="8.140625" customWidth="1"/>
    <col min="7" max="7" width="6.42578125" customWidth="1"/>
    <col min="8" max="8" width="10.85546875" customWidth="1"/>
    <col min="9" max="9" width="9.42578125" customWidth="1"/>
    <col min="10" max="10" width="41.42578125" customWidth="1"/>
    <col min="11" max="11" width="11.85546875" bestFit="1" customWidth="1"/>
    <col min="12" max="12" width="10.42578125" customWidth="1"/>
    <col min="13" max="13" width="8.7109375" customWidth="1"/>
    <col min="14" max="14" width="9.7109375" customWidth="1"/>
    <col min="15" max="15" width="11.28515625" customWidth="1"/>
    <col min="16" max="16" width="10.85546875" customWidth="1"/>
    <col min="17" max="17" width="9.28515625" customWidth="1"/>
    <col min="18" max="18" width="8" customWidth="1"/>
    <col min="19" max="19" width="7.140625" customWidth="1"/>
    <col min="20" max="20" width="10.42578125" customWidth="1"/>
    <col min="21" max="21" width="8.4257812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685" t="s">
        <v>0</v>
      </c>
      <c r="D3" s="1686"/>
      <c r="E3" s="1687"/>
      <c r="J3" s="1685" t="s">
        <v>1067</v>
      </c>
      <c r="K3" s="1686"/>
      <c r="L3" s="1686"/>
      <c r="M3" s="1686"/>
      <c r="N3" s="1686"/>
      <c r="O3" s="1686"/>
      <c r="P3" s="1686"/>
      <c r="Q3" s="1686"/>
      <c r="R3" s="1686"/>
      <c r="S3" s="1686"/>
      <c r="T3" s="1686"/>
      <c r="U3" s="1686"/>
      <c r="V3" s="1687"/>
    </row>
    <row r="4" spans="3:25" ht="5.25" customHeight="1" thickBot="1" x14ac:dyDescent="0.3"/>
    <row r="5" spans="3:25" ht="20.25" customHeight="1" thickBot="1" x14ac:dyDescent="0.3">
      <c r="C5" s="461" t="s">
        <v>1043</v>
      </c>
      <c r="D5" s="561"/>
      <c r="E5" s="1632">
        <f>'GLOBAL INPUTS'!F55</f>
        <v>0</v>
      </c>
      <c r="F5" s="1633"/>
      <c r="G5" s="1633"/>
      <c r="H5" s="1633"/>
      <c r="I5" s="1634"/>
    </row>
    <row r="6" spans="3:25" ht="16.5" thickBot="1" x14ac:dyDescent="0.3">
      <c r="C6" s="17" t="s">
        <v>1280</v>
      </c>
      <c r="D6" s="484"/>
      <c r="E6" s="891">
        <f>'GLOBAL INPUTS'!F56</f>
        <v>0</v>
      </c>
      <c r="F6" s="483"/>
      <c r="G6" s="1815"/>
      <c r="H6" s="1815"/>
      <c r="I6" s="1816"/>
      <c r="J6" s="566" t="s">
        <v>6</v>
      </c>
      <c r="K6" s="567">
        <v>2</v>
      </c>
      <c r="L6" s="567">
        <v>2</v>
      </c>
      <c r="M6" s="568">
        <v>2</v>
      </c>
      <c r="N6" s="569">
        <v>4</v>
      </c>
      <c r="O6" s="567">
        <v>4</v>
      </c>
      <c r="P6" s="568">
        <v>4</v>
      </c>
      <c r="Q6" s="569">
        <v>6</v>
      </c>
      <c r="R6" s="567">
        <v>6</v>
      </c>
      <c r="S6" s="568">
        <v>6</v>
      </c>
      <c r="T6" s="569">
        <v>8</v>
      </c>
      <c r="U6" s="567">
        <v>8</v>
      </c>
      <c r="V6" s="568">
        <v>8</v>
      </c>
      <c r="X6" s="1767"/>
      <c r="Y6" s="1767"/>
    </row>
    <row r="7" spans="3:25" ht="16.5" thickBot="1" x14ac:dyDescent="0.3">
      <c r="C7" s="19"/>
      <c r="D7" s="248"/>
      <c r="E7" s="919"/>
      <c r="F7" s="742"/>
      <c r="G7" s="1696"/>
      <c r="H7" s="1697"/>
      <c r="J7" s="573" t="s">
        <v>7</v>
      </c>
      <c r="K7" s="32">
        <v>4</v>
      </c>
      <c r="L7" s="32">
        <v>6</v>
      </c>
      <c r="M7" s="574">
        <v>8</v>
      </c>
      <c r="N7" s="575">
        <v>6</v>
      </c>
      <c r="O7" s="32">
        <v>8</v>
      </c>
      <c r="P7" s="574">
        <v>2</v>
      </c>
      <c r="Q7" s="575">
        <v>8</v>
      </c>
      <c r="R7" s="32">
        <v>2</v>
      </c>
      <c r="S7" s="574">
        <v>4</v>
      </c>
      <c r="T7" s="575">
        <v>2</v>
      </c>
      <c r="U7" s="32">
        <v>4</v>
      </c>
      <c r="V7" s="574">
        <v>6</v>
      </c>
      <c r="X7" s="1768"/>
      <c r="Y7" s="1768"/>
    </row>
    <row r="8" spans="3:25" ht="16.5" thickBot="1" x14ac:dyDescent="0.3">
      <c r="C8" s="17" t="s">
        <v>470</v>
      </c>
      <c r="E8" s="891">
        <f>'GLOBAL INPUTS'!F58</f>
        <v>0</v>
      </c>
      <c r="F8" s="742"/>
      <c r="J8" s="577" t="s">
        <v>8</v>
      </c>
      <c r="K8" s="18" t="s">
        <v>9</v>
      </c>
      <c r="L8" s="18" t="s">
        <v>10</v>
      </c>
      <c r="M8" s="578" t="s">
        <v>11</v>
      </c>
      <c r="N8" s="579" t="s">
        <v>9</v>
      </c>
      <c r="O8" s="18" t="s">
        <v>10</v>
      </c>
      <c r="P8" s="578" t="s">
        <v>11</v>
      </c>
      <c r="Q8" s="579" t="s">
        <v>9</v>
      </c>
      <c r="R8" s="18" t="s">
        <v>10</v>
      </c>
      <c r="S8" s="578" t="s">
        <v>11</v>
      </c>
      <c r="T8" s="579" t="s">
        <v>9</v>
      </c>
      <c r="U8" s="18" t="s">
        <v>10</v>
      </c>
      <c r="V8" s="578" t="s">
        <v>11</v>
      </c>
      <c r="X8" s="1"/>
      <c r="Y8" s="7"/>
    </row>
    <row r="9" spans="3:25" ht="16.5" thickBot="1" x14ac:dyDescent="0.3">
      <c r="C9" s="17" t="s">
        <v>1002</v>
      </c>
      <c r="E9" s="571">
        <f>'GLOBAL INPUTS'!F59</f>
        <v>0</v>
      </c>
      <c r="F9" s="742" t="s">
        <v>2</v>
      </c>
      <c r="J9" s="587" t="s">
        <v>41</v>
      </c>
      <c r="K9" s="743"/>
      <c r="L9" s="744">
        <f>E6</f>
        <v>0</v>
      </c>
      <c r="M9" s="745"/>
      <c r="N9" s="746"/>
      <c r="O9" s="744" t="str">
        <f>'GLOBAL INPUTS'!N60</f>
        <v>NB</v>
      </c>
      <c r="P9" s="745"/>
      <c r="Q9" s="746"/>
      <c r="R9" s="744" t="str">
        <f>'GLOBAL INPUTS'!N63</f>
        <v>EB</v>
      </c>
      <c r="S9" s="745"/>
      <c r="T9" s="746"/>
      <c r="U9" s="744" t="str">
        <f>'GLOBAL INPUTS'!N66</f>
        <v>SB</v>
      </c>
      <c r="V9" s="747"/>
      <c r="X9" s="1"/>
      <c r="Y9" s="7"/>
    </row>
    <row r="10" spans="3:25" ht="16.5" thickBot="1" x14ac:dyDescent="0.3">
      <c r="C10" s="17" t="s">
        <v>1273</v>
      </c>
      <c r="E10" s="571">
        <f>'GLOBAL INPUTS'!F68</f>
        <v>0</v>
      </c>
      <c r="F10" s="742"/>
      <c r="J10" s="1258" t="s">
        <v>711</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X10" s="1"/>
      <c r="Y10" s="7"/>
    </row>
    <row r="11" spans="3:25" ht="16.5" thickBot="1" x14ac:dyDescent="0.3">
      <c r="C11" s="591" t="s">
        <v>1271</v>
      </c>
      <c r="D11" s="18"/>
      <c r="E11" s="571">
        <f>'GLOBAL INPUTS'!F61</f>
        <v>0</v>
      </c>
      <c r="F11" s="742" t="s">
        <v>3</v>
      </c>
      <c r="J11" s="587" t="s">
        <v>91</v>
      </c>
      <c r="K11" s="749">
        <f>K10*$E$10</f>
        <v>0</v>
      </c>
      <c r="L11" s="1345">
        <f t="shared" ref="L11:V11" si="0">L10*$E$10</f>
        <v>0</v>
      </c>
      <c r="M11" s="1345">
        <f t="shared" si="0"/>
        <v>0</v>
      </c>
      <c r="N11" s="1345">
        <f t="shared" si="0"/>
        <v>0</v>
      </c>
      <c r="O11" s="1345">
        <f t="shared" si="0"/>
        <v>0</v>
      </c>
      <c r="P11" s="1345">
        <f t="shared" si="0"/>
        <v>0</v>
      </c>
      <c r="Q11" s="1345">
        <f t="shared" si="0"/>
        <v>0</v>
      </c>
      <c r="R11" s="1345">
        <f t="shared" si="0"/>
        <v>0</v>
      </c>
      <c r="S11" s="1345">
        <f t="shared" si="0"/>
        <v>0</v>
      </c>
      <c r="T11" s="1345">
        <f t="shared" si="0"/>
        <v>0</v>
      </c>
      <c r="U11" s="1345">
        <f t="shared" si="0"/>
        <v>0</v>
      </c>
      <c r="V11" s="1346">
        <f t="shared" si="0"/>
        <v>0</v>
      </c>
      <c r="X11" s="1"/>
      <c r="Y11" s="7"/>
    </row>
    <row r="12" spans="3:25" ht="15.75" x14ac:dyDescent="0.25">
      <c r="C12" s="17" t="s">
        <v>1049</v>
      </c>
      <c r="E12" s="571">
        <f>'GLOBAL INPUTS'!F63</f>
        <v>0</v>
      </c>
      <c r="F12" s="742" t="s">
        <v>708</v>
      </c>
      <c r="J12" s="750" t="s">
        <v>31</v>
      </c>
      <c r="K12" s="329" t="e">
        <f t="shared" ref="K12:V12" si="1">ROUND(K11/$E$8,0)</f>
        <v>#DIV/0!</v>
      </c>
      <c r="L12" s="595" t="e">
        <f t="shared" si="1"/>
        <v>#DIV/0!</v>
      </c>
      <c r="M12" s="595" t="e">
        <f t="shared" si="1"/>
        <v>#DIV/0!</v>
      </c>
      <c r="N12" s="595" t="e">
        <f t="shared" si="1"/>
        <v>#DIV/0!</v>
      </c>
      <c r="O12" s="595" t="e">
        <f t="shared" si="1"/>
        <v>#DIV/0!</v>
      </c>
      <c r="P12" s="595" t="e">
        <f t="shared" si="1"/>
        <v>#DIV/0!</v>
      </c>
      <c r="Q12" s="595" t="e">
        <f t="shared" si="1"/>
        <v>#DIV/0!</v>
      </c>
      <c r="R12" s="595" t="e">
        <f t="shared" si="1"/>
        <v>#DIV/0!</v>
      </c>
      <c r="S12" s="595" t="e">
        <f t="shared" si="1"/>
        <v>#DIV/0!</v>
      </c>
      <c r="T12" s="595" t="e">
        <f t="shared" si="1"/>
        <v>#DIV/0!</v>
      </c>
      <c r="U12" s="595" t="e">
        <f t="shared" si="1"/>
        <v>#DIV/0!</v>
      </c>
      <c r="V12" s="595" t="e">
        <f t="shared" si="1"/>
        <v>#DIV/0!</v>
      </c>
      <c r="X12" s="1"/>
      <c r="Y12" s="7"/>
    </row>
    <row r="13" spans="3:25" ht="16.5" thickBot="1" x14ac:dyDescent="0.3">
      <c r="C13" s="17" t="s">
        <v>1050</v>
      </c>
      <c r="E13" s="571">
        <f>'GLOBAL INPUTS'!F64</f>
        <v>0</v>
      </c>
      <c r="F13" s="742" t="s">
        <v>708</v>
      </c>
      <c r="G13" s="1681"/>
      <c r="H13" s="1681"/>
      <c r="J13" s="751" t="s">
        <v>57</v>
      </c>
      <c r="K13" s="752" t="e">
        <f t="shared" ref="K13:V13" si="2">ROUND(K12*(1+$E$9/100),0)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753" t="e">
        <f t="shared" si="2"/>
        <v>#DIV/0!</v>
      </c>
      <c r="X13" s="1"/>
      <c r="Y13" s="7"/>
    </row>
    <row r="14" spans="3:25" ht="16.5" thickBot="1" x14ac:dyDescent="0.3">
      <c r="C14" s="17" t="s">
        <v>61</v>
      </c>
      <c r="E14" s="571">
        <f>'GLOBAL INPUTS'!F65</f>
        <v>0</v>
      </c>
      <c r="F14" s="742" t="s">
        <v>1006</v>
      </c>
      <c r="G14" s="14"/>
      <c r="J14" s="754" t="s">
        <v>1065</v>
      </c>
      <c r="K14" s="755" t="e">
        <f>N100+IF(K34=0,K100,K102)+IF(Q39=0,Q106,Q107)+O101</f>
        <v>#DIV/0!</v>
      </c>
      <c r="L14" s="755" t="e">
        <f>K100+N100</f>
        <v>#N/A</v>
      </c>
      <c r="M14" s="756" t="e">
        <f>IF(N34=0,N100,N102)+Q100</f>
        <v>#DIV/0!</v>
      </c>
      <c r="N14" s="757" t="e">
        <f>O100+Q104+K106</f>
        <v>#DIV/0!</v>
      </c>
      <c r="O14" s="755" t="e">
        <f>O100+Q100</f>
        <v>#DIV/0!</v>
      </c>
      <c r="P14" s="756" t="e">
        <f>IF(O34=0,O100,O102)</f>
        <v>#DIV/0!</v>
      </c>
      <c r="Q14" s="757" t="e">
        <f>K105+IF(Q39=0,Q106,Q107)</f>
        <v>#DIV/0!</v>
      </c>
      <c r="R14" s="755" t="e">
        <f>K101+N101</f>
        <v>#DIV/0!</v>
      </c>
      <c r="S14" s="756" t="e">
        <f>K101+IF(N35=0,N101,N103)</f>
        <v>#DIV/0!</v>
      </c>
      <c r="T14" s="757" t="e">
        <f>IF(Q35=0,Q101,Q103)+IF(K39=0,K106,K107)+N101</f>
        <v>#DIV/0!</v>
      </c>
      <c r="U14" s="755" t="e">
        <f>Q101+O101</f>
        <v>#DIV/0!</v>
      </c>
      <c r="V14" s="756" t="e">
        <f>O103+IF(Q35=0,Q101,Q103)</f>
        <v>#DIV/0!</v>
      </c>
      <c r="X14" s="1"/>
      <c r="Y14" s="1"/>
    </row>
    <row r="15" spans="3:25" ht="15.75" x14ac:dyDescent="0.25">
      <c r="C15" s="17" t="s">
        <v>1074</v>
      </c>
      <c r="E15" s="571">
        <f>'GLOBAL INPUTS'!F66</f>
        <v>0</v>
      </c>
      <c r="F15" s="742"/>
      <c r="J15" s="754" t="s">
        <v>1064</v>
      </c>
      <c r="K15" s="322" t="e">
        <f>(E36+2*E11)/(1.47*E17)</f>
        <v>#DIV/0!</v>
      </c>
      <c r="L15" s="322"/>
      <c r="M15" s="604"/>
      <c r="N15" s="322" t="e">
        <f>E36/(1.47*E17)</f>
        <v>#DIV/0!</v>
      </c>
      <c r="O15" s="322"/>
      <c r="P15" s="604"/>
      <c r="Q15" s="322" t="e">
        <f>(E36-2*E11)/(1.47*E17)</f>
        <v>#DIV/0!</v>
      </c>
      <c r="R15" s="322"/>
      <c r="S15" s="604"/>
      <c r="T15" s="322" t="e">
        <f>E36/(E17*1.47)</f>
        <v>#DIV/0!</v>
      </c>
      <c r="U15" s="322"/>
      <c r="V15" s="604"/>
      <c r="X15" s="1"/>
      <c r="Y15" s="1"/>
    </row>
    <row r="16" spans="3:25" ht="15.75" x14ac:dyDescent="0.25">
      <c r="C16" s="17" t="str">
        <f>'GLOBAL INPUTS'!D67</f>
        <v xml:space="preserve">Coordination arrival type on major road (1=poor; 6=outstanding) </v>
      </c>
      <c r="E16" s="571">
        <f>'GLOBAL INPUTS'!F67</f>
        <v>0</v>
      </c>
      <c r="F16" s="742"/>
      <c r="J16" s="754"/>
      <c r="K16" s="322"/>
      <c r="L16" s="322"/>
      <c r="M16" s="604"/>
      <c r="N16" s="322"/>
      <c r="O16" s="322"/>
      <c r="P16" s="604"/>
      <c r="Q16" s="322"/>
      <c r="R16" s="322"/>
      <c r="S16" s="604"/>
      <c r="T16" s="322"/>
      <c r="U16" s="322"/>
      <c r="V16" s="604"/>
      <c r="X16" s="1"/>
      <c r="Y16" s="1"/>
    </row>
    <row r="17" spans="3:25" ht="16.5" thickBot="1" x14ac:dyDescent="0.3">
      <c r="C17" s="19" t="s">
        <v>1281</v>
      </c>
      <c r="D17" s="248"/>
      <c r="E17" s="919">
        <f>'GLOBAL INPUTS'!F57</f>
        <v>0</v>
      </c>
      <c r="F17" s="766" t="s">
        <v>1035</v>
      </c>
      <c r="J17" s="754" t="s">
        <v>1063</v>
      </c>
      <c r="K17" s="760" t="e">
        <f t="shared" ref="K17:V17" si="3">K14+K15</f>
        <v>#DIV/0!</v>
      </c>
      <c r="L17" s="760" t="e">
        <f t="shared" si="3"/>
        <v>#N/A</v>
      </c>
      <c r="M17" s="761" t="e">
        <f t="shared" si="3"/>
        <v>#DIV/0!</v>
      </c>
      <c r="N17" s="762" t="e">
        <f t="shared" si="3"/>
        <v>#DIV/0!</v>
      </c>
      <c r="O17" s="760" t="e">
        <f t="shared" si="3"/>
        <v>#DIV/0!</v>
      </c>
      <c r="P17" s="761" t="e">
        <f t="shared" si="3"/>
        <v>#DIV/0!</v>
      </c>
      <c r="Q17" s="762" t="e">
        <f t="shared" si="3"/>
        <v>#DIV/0!</v>
      </c>
      <c r="R17" s="760" t="e">
        <f t="shared" si="3"/>
        <v>#DIV/0!</v>
      </c>
      <c r="S17" s="761" t="e">
        <f t="shared" si="3"/>
        <v>#DIV/0!</v>
      </c>
      <c r="T17" s="762" t="e">
        <f t="shared" si="3"/>
        <v>#DIV/0!</v>
      </c>
      <c r="U17" s="760" t="e">
        <f t="shared" si="3"/>
        <v>#DIV/0!</v>
      </c>
      <c r="V17" s="761" t="e">
        <f t="shared" si="3"/>
        <v>#DIV/0!</v>
      </c>
      <c r="X17" s="1"/>
      <c r="Y17" s="2"/>
    </row>
    <row r="18" spans="3:25" ht="16.5" thickBot="1" x14ac:dyDescent="0.3">
      <c r="J18" s="754" t="s">
        <v>1077</v>
      </c>
      <c r="K18" s="203"/>
      <c r="L18" s="610" t="e">
        <f>SUMPRODUCT(K13:M13,K17:M17)/SUM(K13:M13)</f>
        <v>#DIV/0!</v>
      </c>
      <c r="M18" s="611"/>
      <c r="N18" s="612"/>
      <c r="O18" s="610" t="e">
        <f>SUMPRODUCT(N13:P13,N17:P17)/SUM(N13:P13)</f>
        <v>#DIV/0!</v>
      </c>
      <c r="P18" s="611"/>
      <c r="Q18" s="612"/>
      <c r="R18" s="610" t="e">
        <f>SUMPRODUCT(Q13:S13,Q17:S17)/SUM(Q13:S13)</f>
        <v>#DIV/0!</v>
      </c>
      <c r="S18" s="611"/>
      <c r="T18" s="612"/>
      <c r="U18" s="610" t="e">
        <f>SUMPRODUCT(T13:V13,T17:V17)/SUM(T13:V13)</f>
        <v>#DIV/0!</v>
      </c>
      <c r="V18" s="613"/>
      <c r="X18" s="1"/>
      <c r="Y18" s="1"/>
    </row>
    <row r="19" spans="3:25" ht="15.75" thickBot="1" x14ac:dyDescent="0.3">
      <c r="J19" s="763" t="s">
        <v>95</v>
      </c>
      <c r="K19" s="764" t="e">
        <f>VLOOKUP(K17,$G$23:$H$28,2,TRUE)</f>
        <v>#DIV/0!</v>
      </c>
      <c r="L19" s="764" t="e">
        <f t="shared" ref="L19:V19" si="4">VLOOKUP(L17,$G$23:$H$28,2,TRUE)</f>
        <v>#N/A</v>
      </c>
      <c r="M19" s="764" t="e">
        <f t="shared" si="4"/>
        <v>#DIV/0!</v>
      </c>
      <c r="N19" s="764" t="e">
        <f t="shared" si="4"/>
        <v>#DIV/0!</v>
      </c>
      <c r="O19" s="764" t="e">
        <f t="shared" si="4"/>
        <v>#DIV/0!</v>
      </c>
      <c r="P19" s="764" t="e">
        <f t="shared" si="4"/>
        <v>#DIV/0!</v>
      </c>
      <c r="Q19" s="764" t="e">
        <f t="shared" si="4"/>
        <v>#DIV/0!</v>
      </c>
      <c r="R19" s="764" t="e">
        <f t="shared" si="4"/>
        <v>#DIV/0!</v>
      </c>
      <c r="S19" s="764" t="e">
        <f t="shared" si="4"/>
        <v>#DIV/0!</v>
      </c>
      <c r="T19" s="764" t="e">
        <f t="shared" si="4"/>
        <v>#DIV/0!</v>
      </c>
      <c r="U19" s="764" t="e">
        <f t="shared" si="4"/>
        <v>#DIV/0!</v>
      </c>
      <c r="V19" s="764" t="e">
        <f t="shared" si="4"/>
        <v>#DIV/0!</v>
      </c>
      <c r="X19" s="1"/>
      <c r="Y19" s="1"/>
    </row>
    <row r="20" spans="3:25" ht="21.75" thickBot="1" x14ac:dyDescent="0.4">
      <c r="K20" s="1265" t="s">
        <v>76</v>
      </c>
      <c r="L20" s="768"/>
      <c r="M20" s="769"/>
      <c r="N20" s="1134" t="e">
        <f>SUMPRODUCT(K14:V14,K13:V13)/SUM(K13:V13)</f>
        <v>#DIV/0!</v>
      </c>
      <c r="O20" s="1135" t="e">
        <f>VLOOKUP(N20,G23:H28,2,TRUE)</f>
        <v>#DIV/0!</v>
      </c>
      <c r="P20" s="616"/>
      <c r="Q20" s="1265" t="s">
        <v>40</v>
      </c>
      <c r="R20" s="768"/>
      <c r="S20" s="768"/>
      <c r="T20" s="769"/>
      <c r="U20" s="621" t="e">
        <f>SUMPRODUCT(K13:V13,K17:V17)/SUM(K13:V13)</f>
        <v>#DIV/0!</v>
      </c>
      <c r="V20" s="622" t="e">
        <f>VLOOKUP(U20,G23:H28,2,TRUE)</f>
        <v>#DIV/0!</v>
      </c>
      <c r="X20" s="1"/>
      <c r="Y20" s="1"/>
    </row>
    <row r="21" spans="3:25" ht="19.5" thickBot="1" x14ac:dyDescent="0.35">
      <c r="G21" s="1706" t="s">
        <v>93</v>
      </c>
      <c r="H21" s="1707"/>
      <c r="K21" s="195"/>
      <c r="L21" s="195"/>
      <c r="M21" s="195"/>
      <c r="N21" s="195"/>
      <c r="P21" s="195"/>
      <c r="Q21" s="1268" t="s">
        <v>398</v>
      </c>
      <c r="R21" s="263"/>
      <c r="S21" s="263"/>
      <c r="T21" s="263"/>
      <c r="U21" s="264"/>
      <c r="V21" s="773" t="e">
        <f>IF(MAX(N112,O113)&gt;E11,"YES","NO")</f>
        <v>#DIV/0!</v>
      </c>
    </row>
    <row r="22" spans="3:25" ht="19.5" thickBot="1" x14ac:dyDescent="0.35">
      <c r="G22" s="1817" t="s">
        <v>94</v>
      </c>
      <c r="H22" s="1818"/>
      <c r="J22" s="471"/>
      <c r="K22" s="27"/>
      <c r="L22" s="27"/>
      <c r="M22" s="27"/>
      <c r="N22" s="27"/>
      <c r="O22" s="195"/>
      <c r="P22" s="195"/>
      <c r="Q22" s="1268" t="s">
        <v>399</v>
      </c>
      <c r="R22" s="263"/>
      <c r="S22" s="263"/>
      <c r="T22" s="263"/>
      <c r="U22" s="264"/>
      <c r="V22" s="773" t="e">
        <f>IF(MAX(K118,K119,Q118,Q119)&gt;2*E11,"YES","NO")</f>
        <v>#DIV/0!</v>
      </c>
    </row>
    <row r="23" spans="3:25" x14ac:dyDescent="0.25">
      <c r="G23" s="911">
        <v>0</v>
      </c>
      <c r="H23" s="759" t="s">
        <v>16</v>
      </c>
      <c r="J23" s="258"/>
      <c r="K23" s="18"/>
      <c r="L23" s="18"/>
      <c r="M23" s="18"/>
      <c r="N23" s="18"/>
      <c r="T23" s="15"/>
      <c r="U23" s="15"/>
    </row>
    <row r="24" spans="3:25" x14ac:dyDescent="0.25">
      <c r="G24" s="911">
        <v>10</v>
      </c>
      <c r="H24" s="759" t="s">
        <v>17</v>
      </c>
      <c r="J24" s="258"/>
      <c r="K24" s="18"/>
      <c r="L24" s="18"/>
      <c r="M24" s="18"/>
      <c r="N24" s="18"/>
      <c r="O24" s="18"/>
      <c r="P24" s="18"/>
      <c r="Q24" s="18"/>
      <c r="R24" s="18"/>
      <c r="S24" s="18"/>
      <c r="T24" s="18"/>
      <c r="U24" s="18"/>
      <c r="V24" s="18"/>
    </row>
    <row r="25" spans="3:25" x14ac:dyDescent="0.25">
      <c r="G25" s="911">
        <v>20</v>
      </c>
      <c r="H25" s="759" t="s">
        <v>18</v>
      </c>
      <c r="J25" s="276" t="s">
        <v>1379</v>
      </c>
      <c r="K25" s="18"/>
      <c r="L25" s="18"/>
      <c r="M25" s="18"/>
      <c r="N25" s="18"/>
    </row>
    <row r="26" spans="3:25" ht="19.5" thickBot="1" x14ac:dyDescent="0.35">
      <c r="G26" s="911">
        <v>35</v>
      </c>
      <c r="H26" s="759" t="s">
        <v>19</v>
      </c>
      <c r="J26" s="15" t="s">
        <v>1236</v>
      </c>
      <c r="K26" s="18"/>
      <c r="L26" s="18"/>
      <c r="M26" s="158"/>
      <c r="N26" s="158"/>
      <c r="O26" s="195"/>
    </row>
    <row r="27" spans="3:25" ht="21.75" thickBot="1" x14ac:dyDescent="0.4">
      <c r="G27" s="911">
        <v>55</v>
      </c>
      <c r="H27" s="759" t="s">
        <v>20</v>
      </c>
      <c r="L27" s="1769" t="s">
        <v>325</v>
      </c>
      <c r="M27" s="1770"/>
      <c r="N27" s="1770"/>
      <c r="O27" s="1770"/>
      <c r="P27" s="1139">
        <f>E14*0.95</f>
        <v>0</v>
      </c>
    </row>
    <row r="28" spans="3:25" ht="15.75" thickBot="1" x14ac:dyDescent="0.3">
      <c r="G28" s="911">
        <v>80</v>
      </c>
      <c r="H28" s="759" t="s">
        <v>21</v>
      </c>
    </row>
    <row r="29" spans="3:25" ht="15.75" x14ac:dyDescent="0.25">
      <c r="J29" s="1700" t="s">
        <v>955</v>
      </c>
      <c r="K29" s="1688" t="s">
        <v>950</v>
      </c>
      <c r="L29" s="1689"/>
      <c r="M29" s="15"/>
      <c r="N29" s="1713" t="s">
        <v>100</v>
      </c>
      <c r="O29" s="1714"/>
      <c r="P29" s="15"/>
      <c r="Q29" s="1688" t="s">
        <v>954</v>
      </c>
      <c r="R29" s="1689"/>
    </row>
    <row r="30" spans="3:25" ht="18.75" x14ac:dyDescent="0.3">
      <c r="E30" s="18"/>
      <c r="J30" s="1701"/>
      <c r="K30" s="1819" t="s">
        <v>720</v>
      </c>
      <c r="L30" s="1820"/>
      <c r="N30" s="1730"/>
      <c r="O30" s="1810"/>
      <c r="P30" s="774"/>
      <c r="Q30" s="1775" t="s">
        <v>928</v>
      </c>
      <c r="R30" s="1719"/>
    </row>
    <row r="31" spans="3:25" ht="16.5" thickBot="1" x14ac:dyDescent="0.3">
      <c r="J31" s="1702"/>
      <c r="K31" s="17"/>
      <c r="L31" s="578"/>
      <c r="M31" s="18"/>
      <c r="N31" s="1347"/>
      <c r="O31" s="578"/>
      <c r="P31" s="18"/>
      <c r="Q31" s="1347"/>
      <c r="R31" s="570"/>
    </row>
    <row r="32" spans="3:25" ht="15.75" x14ac:dyDescent="0.25">
      <c r="J32" s="560" t="s">
        <v>329</v>
      </c>
      <c r="K32" s="10"/>
      <c r="L32" s="777" t="str">
        <f>CONCATENATE($L$9,"T")</f>
        <v>0T</v>
      </c>
      <c r="M32" s="1142" t="str">
        <f>L32</f>
        <v>0T</v>
      </c>
      <c r="N32" s="10"/>
      <c r="O32" s="10"/>
      <c r="P32" s="777" t="str">
        <f>CONCATENATE($O$9,"T")</f>
        <v>NBT</v>
      </c>
      <c r="Q32" s="10"/>
      <c r="R32" s="1167" t="str">
        <f>CONCATENATE($O$9,"T")</f>
        <v>NBT</v>
      </c>
    </row>
    <row r="33" spans="2:30" ht="15.75" x14ac:dyDescent="0.25">
      <c r="J33" s="17" t="s">
        <v>1311</v>
      </c>
      <c r="K33" s="9"/>
      <c r="L33" s="276" t="str">
        <f>CONCATENATE($R$9,"T")</f>
        <v>EBT</v>
      </c>
      <c r="M33" s="471" t="str">
        <f>L33</f>
        <v>EBT</v>
      </c>
      <c r="N33" s="9"/>
      <c r="O33" s="9"/>
      <c r="P33" s="276" t="str">
        <f>CONCATENATE($U$9,"T")</f>
        <v>SBT</v>
      </c>
      <c r="Q33" s="9"/>
      <c r="R33" s="1324" t="str">
        <f>CONCATENATE($U$9,"T")</f>
        <v>SBT</v>
      </c>
    </row>
    <row r="34" spans="2:30" ht="15.75" x14ac:dyDescent="0.25">
      <c r="J34" s="17" t="s">
        <v>1312</v>
      </c>
      <c r="K34" s="9"/>
      <c r="L34" s="276" t="str">
        <f>CONCATENATE($L$9,"R")</f>
        <v>0R</v>
      </c>
      <c r="M34" s="471" t="str">
        <f>L34</f>
        <v>0R</v>
      </c>
      <c r="N34" s="9"/>
      <c r="O34" s="9"/>
      <c r="P34" s="276" t="str">
        <f>CONCATENATE($O$9,"R")</f>
        <v>NBR</v>
      </c>
      <c r="Q34" s="1146">
        <v>1</v>
      </c>
      <c r="R34" s="1324"/>
    </row>
    <row r="35" spans="2:30" ht="16.5" thickBot="1" x14ac:dyDescent="0.3">
      <c r="J35" s="17" t="s">
        <v>1313</v>
      </c>
      <c r="K35" s="1146">
        <v>0</v>
      </c>
      <c r="L35" s="276"/>
      <c r="M35" s="471" t="str">
        <f>CONCATENATE($R$9,"R")</f>
        <v>EBR</v>
      </c>
      <c r="N35" s="9"/>
      <c r="O35" s="9"/>
      <c r="P35" s="276" t="str">
        <f>CONCATENATE($U$9,"R")</f>
        <v>SBR</v>
      </c>
      <c r="Q35" s="890"/>
      <c r="R35" s="1324" t="str">
        <f>CONCATENATE($U$9,"R")</f>
        <v>SBR</v>
      </c>
      <c r="S35" s="15"/>
    </row>
    <row r="36" spans="2:30" ht="16.5" thickBot="1" x14ac:dyDescent="0.3">
      <c r="D36" s="461" t="s">
        <v>333</v>
      </c>
      <c r="E36" s="1148">
        <f>ROUND(22/14*E11,0)</f>
        <v>0</v>
      </c>
      <c r="J36" s="17" t="s">
        <v>334</v>
      </c>
      <c r="K36" s="1146">
        <v>0</v>
      </c>
      <c r="L36" s="276"/>
      <c r="M36" s="15"/>
      <c r="N36" s="1149"/>
      <c r="O36" s="1149"/>
      <c r="P36" s="15"/>
      <c r="Q36" s="9"/>
      <c r="R36" s="1324" t="str">
        <f>CONCATENATE($O$9,"L")</f>
        <v>NBL</v>
      </c>
    </row>
    <row r="37" spans="2:30" ht="18" customHeight="1" x14ac:dyDescent="0.25">
      <c r="C37" s="720"/>
      <c r="J37" s="17" t="s">
        <v>335</v>
      </c>
      <c r="K37" s="9"/>
      <c r="L37" s="276" t="str">
        <f>CONCATENATE($R$9,"L")</f>
        <v>EBL</v>
      </c>
      <c r="M37" s="15"/>
      <c r="N37" s="1149"/>
      <c r="O37" s="1149"/>
      <c r="P37" s="15"/>
      <c r="Q37" s="1146">
        <v>1</v>
      </c>
      <c r="R37" s="1324"/>
    </row>
    <row r="38" spans="2:30" ht="15.75" x14ac:dyDescent="0.25">
      <c r="J38" s="17" t="s">
        <v>721</v>
      </c>
      <c r="K38" s="9"/>
      <c r="L38" s="276" t="str">
        <f>CONCATENATE($U$9,"R")</f>
        <v>SBR</v>
      </c>
      <c r="M38" s="15"/>
      <c r="N38" s="1149"/>
      <c r="O38" s="1149"/>
      <c r="P38" s="15"/>
      <c r="Q38" s="9"/>
      <c r="R38" s="1324" t="str">
        <f>CONCATENATE($R$9,"R")</f>
        <v>EBR</v>
      </c>
    </row>
    <row r="39" spans="2:30" ht="16.5" thickBot="1" x14ac:dyDescent="0.3">
      <c r="B39" s="1792"/>
      <c r="C39" s="1792"/>
      <c r="D39" s="1792"/>
      <c r="E39" s="1792"/>
      <c r="F39" s="1792"/>
      <c r="G39" s="1792"/>
      <c r="H39" s="1792"/>
      <c r="J39" s="19" t="s">
        <v>722</v>
      </c>
      <c r="K39" s="11"/>
      <c r="L39" s="785" t="str">
        <f>CONCATENATE($U$9,"L")</f>
        <v>SBL</v>
      </c>
      <c r="M39" s="1150"/>
      <c r="N39" s="1151"/>
      <c r="O39" s="1151"/>
      <c r="P39" s="1150"/>
      <c r="Q39" s="11"/>
      <c r="R39" s="788" t="str">
        <f>CONCATENATE($R$9,"L")</f>
        <v>EBL</v>
      </c>
    </row>
    <row r="40" spans="2:30" ht="19.5" thickBot="1" x14ac:dyDescent="0.35">
      <c r="B40" s="27"/>
      <c r="C40" s="195"/>
      <c r="D40" s="27"/>
      <c r="E40" s="18"/>
      <c r="F40" s="18"/>
      <c r="G40" s="18"/>
      <c r="H40" s="18"/>
      <c r="M40" t="s">
        <v>338</v>
      </c>
      <c r="N40" s="27" t="s">
        <v>339</v>
      </c>
      <c r="O40" s="27" t="s">
        <v>340</v>
      </c>
    </row>
    <row r="41" spans="2:30" ht="18.75" x14ac:dyDescent="0.3">
      <c r="B41" s="27"/>
      <c r="C41" s="195"/>
      <c r="D41" s="27"/>
      <c r="E41" s="18"/>
      <c r="F41" s="18"/>
      <c r="G41" s="18"/>
      <c r="H41" s="18"/>
      <c r="J41" s="560" t="s">
        <v>341</v>
      </c>
      <c r="K41" s="731" t="e">
        <f>L13+0.5*V13+IF(K34=0,M13*K50,0)</f>
        <v>#DIV/0!</v>
      </c>
      <c r="L41" s="731"/>
      <c r="M41" s="731"/>
      <c r="N41" s="731" t="e">
        <f>L13+K13+IF(N34=0,M13*N50,0)</f>
        <v>#DIV/0!</v>
      </c>
      <c r="O41" s="731" t="e">
        <f>N13+O13+IF(O34=0,P13*N50,0)</f>
        <v>#DIV/0!</v>
      </c>
      <c r="P41" s="731"/>
      <c r="Q41" s="731" t="e">
        <f>M13+O13</f>
        <v>#DIV/0!</v>
      </c>
      <c r="R41" s="678"/>
    </row>
    <row r="42" spans="2:30" ht="18.75" x14ac:dyDescent="0.3">
      <c r="B42" s="27"/>
      <c r="C42" s="195"/>
      <c r="D42" s="27"/>
      <c r="E42" s="18"/>
      <c r="F42" s="18"/>
      <c r="G42" s="18"/>
      <c r="H42" s="158"/>
      <c r="J42" s="1153" t="s">
        <v>1293</v>
      </c>
      <c r="K42" s="1154" t="e">
        <f>R13+S13</f>
        <v>#DIV/0!</v>
      </c>
      <c r="L42" s="1154"/>
      <c r="M42" s="1154"/>
      <c r="N42" s="20" t="e">
        <f>R13+T13</f>
        <v>#DIV/0!</v>
      </c>
      <c r="O42" s="1154" t="e">
        <f>K13+U13+IF(O35=0,0.5*V13,0)</f>
        <v>#DIV/0!</v>
      </c>
      <c r="P42" s="1154"/>
      <c r="Q42" s="1154" t="e">
        <f>U13+0.5*V13*Q50+IF(Q35=0,T13*Q51+0.5*V13*Q50,0)</f>
        <v>#DIV/0!</v>
      </c>
      <c r="R42" s="1155"/>
    </row>
    <row r="43" spans="2:30" ht="18.75" x14ac:dyDescent="0.3">
      <c r="B43" s="27"/>
      <c r="C43" s="195"/>
      <c r="D43" s="27"/>
      <c r="E43" s="18"/>
      <c r="F43" s="18"/>
      <c r="G43" s="18"/>
      <c r="H43" s="158"/>
      <c r="J43" s="1156" t="s">
        <v>1294</v>
      </c>
      <c r="K43" s="342">
        <f>IF(K34=0,0,M13)*K50</f>
        <v>0</v>
      </c>
      <c r="L43" s="342"/>
      <c r="M43" s="342"/>
      <c r="N43" s="342">
        <f>IF(N34=0,0,M13)*N50</f>
        <v>0</v>
      </c>
      <c r="O43" s="342">
        <f>IF(O34=0,0,P13)*O50</f>
        <v>0</v>
      </c>
      <c r="P43" s="342"/>
      <c r="Q43" s="1163" t="e">
        <f>D41*N13*Q50</f>
        <v>#DIV/0!</v>
      </c>
      <c r="R43" s="1157"/>
    </row>
    <row r="44" spans="2:30" x14ac:dyDescent="0.25">
      <c r="B44" s="1158"/>
      <c r="C44" s="1159"/>
      <c r="D44" s="1160"/>
      <c r="E44" s="1161"/>
      <c r="F44" s="1161"/>
      <c r="G44" s="1161"/>
      <c r="H44" s="1161"/>
      <c r="J44" s="1153" t="s">
        <v>1310</v>
      </c>
      <c r="K44" s="1162" t="e">
        <f>(D41*F41*S13)*K50</f>
        <v>#DIV/0!</v>
      </c>
      <c r="L44" s="1154"/>
      <c r="M44" s="1154"/>
      <c r="N44" s="1154">
        <f>IF(N35=0,0,S13)*N50</f>
        <v>0</v>
      </c>
      <c r="O44" s="1154">
        <f>IF(O35=0,0,0.5*V13)*O50</f>
        <v>0</v>
      </c>
      <c r="P44" s="1154"/>
      <c r="Q44" s="1154">
        <f>IF(Q35=0,0,T13*Q51+0.5*V13*Q50)</f>
        <v>0</v>
      </c>
      <c r="R44" s="1155"/>
    </row>
    <row r="45" spans="2:30" x14ac:dyDescent="0.25">
      <c r="E45" s="275"/>
      <c r="J45" s="1156" t="s">
        <v>345</v>
      </c>
      <c r="K45" s="1163" t="e">
        <f>(D41*G41*K13)*K51</f>
        <v>#DIV/0!</v>
      </c>
      <c r="L45" s="342"/>
      <c r="M45" s="342"/>
      <c r="N45" s="1163"/>
      <c r="O45" s="1163"/>
      <c r="P45" s="342"/>
      <c r="Q45" s="20" t="e">
        <f>N13*Q51</f>
        <v>#DIV/0!</v>
      </c>
      <c r="R45" s="1157"/>
    </row>
    <row r="46" spans="2:30" ht="18.75" x14ac:dyDescent="0.3">
      <c r="B46" s="27"/>
      <c r="C46" s="195"/>
      <c r="D46" s="27"/>
      <c r="E46" s="308"/>
      <c r="F46" s="18"/>
      <c r="G46" s="18"/>
      <c r="H46" s="18"/>
      <c r="J46" s="1153" t="s">
        <v>346</v>
      </c>
      <c r="K46" s="1154" t="e">
        <f>Q13*K51</f>
        <v>#DIV/0!</v>
      </c>
      <c r="L46" s="1154"/>
      <c r="M46" s="1154"/>
      <c r="N46" s="1162"/>
      <c r="O46" s="1162"/>
      <c r="P46" s="1154"/>
      <c r="Q46" s="1162" t="e">
        <f>D41*H41*T13*Q51</f>
        <v>#DIV/0!</v>
      </c>
      <c r="R46" s="1155"/>
      <c r="V46" s="21"/>
      <c r="W46" s="22"/>
      <c r="X46" s="23"/>
      <c r="Y46" s="23"/>
      <c r="Z46" s="22"/>
      <c r="AA46" s="23"/>
      <c r="AB46" s="23"/>
      <c r="AC46" s="22"/>
      <c r="AD46" s="23"/>
    </row>
    <row r="47" spans="2:30" ht="18.75" x14ac:dyDescent="0.3">
      <c r="B47" s="27"/>
      <c r="C47" s="195"/>
      <c r="D47" s="27"/>
      <c r="E47" s="308"/>
      <c r="F47" s="18"/>
      <c r="G47" s="18"/>
      <c r="H47" s="18"/>
      <c r="J47" s="17" t="s">
        <v>348</v>
      </c>
      <c r="K47" s="20" t="e">
        <f>(N13+0.5*V13+IF(K39=0,T13,0))*K50</f>
        <v>#DIV/0!</v>
      </c>
      <c r="L47" s="20"/>
      <c r="M47" s="20"/>
      <c r="N47" s="504"/>
      <c r="O47" s="504"/>
      <c r="P47" s="20"/>
      <c r="Q47" s="20" t="e">
        <f>K13*Q50</f>
        <v>#DIV/0!</v>
      </c>
      <c r="R47" s="578"/>
      <c r="V47" s="21"/>
      <c r="W47" s="22"/>
      <c r="X47" s="23"/>
      <c r="Y47" s="23"/>
      <c r="Z47" s="22"/>
      <c r="AA47" s="23"/>
      <c r="AB47" s="23"/>
      <c r="AC47" s="22"/>
      <c r="AD47" s="23"/>
    </row>
    <row r="48" spans="2:30" ht="19.5" thickBot="1" x14ac:dyDescent="0.35">
      <c r="B48" s="27"/>
      <c r="C48" s="195"/>
      <c r="D48" s="27"/>
      <c r="E48" s="308"/>
      <c r="F48" s="18"/>
      <c r="G48" s="18"/>
      <c r="H48" s="158"/>
      <c r="J48" s="19" t="s">
        <v>350</v>
      </c>
      <c r="K48" s="671">
        <f>IF(K39=0,0,T13)*K51</f>
        <v>0</v>
      </c>
      <c r="L48" s="671"/>
      <c r="M48" s="671"/>
      <c r="N48" s="1164"/>
      <c r="O48" s="1164"/>
      <c r="P48" s="671"/>
      <c r="Q48" s="671">
        <f>IF(Q39=0,0,Q13)*Q51</f>
        <v>0</v>
      </c>
      <c r="R48" s="679"/>
      <c r="W48" s="18"/>
      <c r="X48" s="18"/>
      <c r="Y48" s="18"/>
      <c r="Z48" s="18"/>
      <c r="AA48" s="18"/>
      <c r="AB48" s="18"/>
      <c r="AC48" s="18"/>
      <c r="AD48" s="18"/>
    </row>
    <row r="49" spans="2:30" ht="19.5" thickBot="1" x14ac:dyDescent="0.35">
      <c r="B49" s="27"/>
      <c r="C49" s="195"/>
      <c r="D49" s="27"/>
      <c r="E49" s="18"/>
      <c r="F49" s="18"/>
      <c r="G49" s="18"/>
      <c r="H49" s="158"/>
      <c r="J49" s="1166"/>
      <c r="K49" s="1688" t="s">
        <v>326</v>
      </c>
      <c r="L49" s="1689"/>
      <c r="M49" t="s">
        <v>338</v>
      </c>
      <c r="N49" s="27" t="s">
        <v>339</v>
      </c>
      <c r="O49" s="27" t="s">
        <v>340</v>
      </c>
      <c r="P49" s="1168"/>
      <c r="Q49" s="1688" t="s">
        <v>327</v>
      </c>
      <c r="R49" s="1689"/>
      <c r="T49" s="682"/>
      <c r="V49" s="802"/>
      <c r="W49" s="18"/>
      <c r="X49" s="18"/>
      <c r="Y49" s="18"/>
      <c r="Z49" s="24"/>
      <c r="AA49" s="18"/>
      <c r="AB49" s="18"/>
      <c r="AC49" s="18"/>
      <c r="AD49" s="18"/>
    </row>
    <row r="50" spans="2:30" ht="15.75" x14ac:dyDescent="0.25">
      <c r="B50" s="1158"/>
      <c r="C50" s="1159"/>
      <c r="D50" s="1160"/>
      <c r="E50" s="1161"/>
      <c r="F50" s="1161"/>
      <c r="G50" s="1161"/>
      <c r="H50" s="1161"/>
      <c r="J50" s="560" t="s">
        <v>1237</v>
      </c>
      <c r="K50" s="713">
        <v>1.18</v>
      </c>
      <c r="L50" s="713"/>
      <c r="M50" s="713"/>
      <c r="N50" s="713">
        <v>1.18</v>
      </c>
      <c r="O50" s="713">
        <v>1.18</v>
      </c>
      <c r="P50" s="713"/>
      <c r="Q50" s="713">
        <v>1.18</v>
      </c>
      <c r="R50" s="561"/>
      <c r="V50" s="802"/>
      <c r="W50" s="18"/>
      <c r="X50" s="18"/>
      <c r="Y50" s="18"/>
      <c r="Z50" s="24"/>
      <c r="AA50" s="18"/>
      <c r="AB50" s="18"/>
      <c r="AC50" s="18"/>
      <c r="AD50" s="18"/>
    </row>
    <row r="51" spans="2:30" ht="16.5" thickBot="1" x14ac:dyDescent="0.3">
      <c r="J51" s="19" t="s">
        <v>1238</v>
      </c>
      <c r="K51" s="718">
        <v>1.05</v>
      </c>
      <c r="L51" s="718"/>
      <c r="M51" s="718"/>
      <c r="N51" s="718">
        <v>1</v>
      </c>
      <c r="O51" s="718">
        <v>1</v>
      </c>
      <c r="P51" s="718"/>
      <c r="Q51" s="718">
        <v>1.05</v>
      </c>
      <c r="R51" s="666"/>
      <c r="V51" s="802"/>
      <c r="W51" s="24"/>
      <c r="X51" s="18"/>
      <c r="Y51" s="18"/>
      <c r="Z51" s="24"/>
      <c r="AA51" s="18"/>
      <c r="AB51" s="18"/>
      <c r="AC51" s="24"/>
      <c r="AD51" s="18"/>
    </row>
    <row r="52" spans="2:30" ht="15.75" thickBot="1" x14ac:dyDescent="0.3">
      <c r="K52" s="308"/>
      <c r="L52" s="308"/>
      <c r="M52" s="308"/>
      <c r="N52" s="308"/>
      <c r="O52" s="308"/>
      <c r="P52" s="308"/>
      <c r="Q52" s="308">
        <v>1.18</v>
      </c>
      <c r="R52" s="570"/>
      <c r="V52" s="803"/>
      <c r="W52" s="25"/>
      <c r="X52" s="25"/>
      <c r="Y52" s="25"/>
      <c r="Z52" s="25"/>
      <c r="AA52" s="25"/>
      <c r="AB52" s="25"/>
      <c r="AC52" s="25"/>
      <c r="AD52" s="25"/>
    </row>
    <row r="53" spans="2:30" x14ac:dyDescent="0.25">
      <c r="J53" s="560" t="s">
        <v>1295</v>
      </c>
      <c r="K53" s="712" t="e">
        <f>(K41/K32)/$P$27</f>
        <v>#DIV/0!</v>
      </c>
      <c r="L53" s="1171" t="e">
        <f>1-L54</f>
        <v>#DIV/0!</v>
      </c>
      <c r="M53" s="658"/>
      <c r="N53" s="712" t="e">
        <f t="shared" ref="N53:O54" si="5">N41/N32/$P$27</f>
        <v>#DIV/0!</v>
      </c>
      <c r="O53" s="712" t="e">
        <f t="shared" si="5"/>
        <v>#DIV/0!</v>
      </c>
      <c r="P53" s="658"/>
      <c r="Q53" s="712" t="e">
        <f>(Q41/Q32)/$P$27</f>
        <v>#DIV/0!</v>
      </c>
      <c r="R53" s="1172" t="e">
        <f>IF(Q53&gt;Q54+Q57,1,0)</f>
        <v>#DIV/0!</v>
      </c>
      <c r="V53" s="803"/>
      <c r="W53" s="26"/>
      <c r="X53" s="26"/>
      <c r="Y53" s="26"/>
      <c r="Z53" s="25"/>
      <c r="AA53" s="26"/>
      <c r="AB53" s="26"/>
      <c r="AC53" s="26"/>
      <c r="AD53" s="26"/>
    </row>
    <row r="54" spans="2:30" x14ac:dyDescent="0.25">
      <c r="J54" s="17" t="s">
        <v>1296</v>
      </c>
      <c r="K54" s="309" t="e">
        <f>(K42/K33)/$P$27</f>
        <v>#DIV/0!</v>
      </c>
      <c r="L54" s="1173" t="e">
        <f>IF(K54&gt;K53+K58,1,0)</f>
        <v>#DIV/0!</v>
      </c>
      <c r="M54" s="18"/>
      <c r="N54" s="309" t="e">
        <f t="shared" si="5"/>
        <v>#DIV/0!</v>
      </c>
      <c r="O54" s="309" t="e">
        <f t="shared" si="5"/>
        <v>#DIV/0!</v>
      </c>
      <c r="P54" s="18"/>
      <c r="Q54" s="309" t="e">
        <f>(Q42/Q33)/$P$27</f>
        <v>#DIV/0!</v>
      </c>
      <c r="R54" s="1174" t="e">
        <f>1-R53</f>
        <v>#DIV/0!</v>
      </c>
      <c r="T54" s="275"/>
      <c r="V54" s="803"/>
      <c r="W54" s="26"/>
      <c r="X54" s="26"/>
      <c r="Y54" s="26"/>
      <c r="Z54" s="25"/>
      <c r="AA54" s="26"/>
      <c r="AB54" s="26"/>
      <c r="AC54" s="26"/>
      <c r="AD54" s="26"/>
    </row>
    <row r="55" spans="2:30" x14ac:dyDescent="0.25">
      <c r="J55" s="1156" t="s">
        <v>1297</v>
      </c>
      <c r="K55" s="1175">
        <f>IF(K34=0,0,(K43/K34)/$P$27)</f>
        <v>0</v>
      </c>
      <c r="L55" s="1176"/>
      <c r="M55" s="1177"/>
      <c r="N55" s="1175">
        <f>IF(N43=0,0,N43/N34/$P$27)</f>
        <v>0</v>
      </c>
      <c r="O55" s="1175">
        <f>IF(O34=0,0,O43/O34/$P$27)</f>
        <v>0</v>
      </c>
      <c r="P55" s="1177"/>
      <c r="Q55" s="1235" t="e">
        <f>IF(Q34=0,0,(Q43/Q34)/$P$27)</f>
        <v>#DIV/0!</v>
      </c>
      <c r="R55" s="1178"/>
      <c r="T55" s="275"/>
      <c r="V55" s="803"/>
      <c r="W55" s="26"/>
      <c r="X55" s="26"/>
      <c r="Y55" s="26"/>
      <c r="Z55" s="25"/>
      <c r="AA55" s="26"/>
      <c r="AB55" s="26"/>
      <c r="AC55" s="26"/>
      <c r="AD55" s="26"/>
    </row>
    <row r="56" spans="2:30" x14ac:dyDescent="0.25">
      <c r="J56" s="1153" t="s">
        <v>1298</v>
      </c>
      <c r="K56" s="1179">
        <f>IF(K35=0,0,(K44/K35)/$P$27)</f>
        <v>0</v>
      </c>
      <c r="L56" s="1180"/>
      <c r="M56" s="328"/>
      <c r="N56" s="1181">
        <f>IF(N35=0,0,N44/N35/$P$27)</f>
        <v>0</v>
      </c>
      <c r="O56" s="1181">
        <f>IF(O44=0,0,O44/O35/$P$27)</f>
        <v>0</v>
      </c>
      <c r="P56" s="328"/>
      <c r="Q56" s="309">
        <f>IF(Q35=0,0,Q44/Q35/$P$27)</f>
        <v>0</v>
      </c>
      <c r="R56" s="1182"/>
      <c r="T56" s="275"/>
      <c r="V56" s="803"/>
      <c r="W56" s="26"/>
      <c r="X56" s="26"/>
      <c r="Y56" s="26"/>
      <c r="Z56" s="25"/>
      <c r="AA56" s="26"/>
      <c r="AB56" s="26"/>
      <c r="AC56" s="26"/>
      <c r="AD56" s="26"/>
    </row>
    <row r="57" spans="2:30" x14ac:dyDescent="0.25">
      <c r="J57" s="17" t="s">
        <v>1289</v>
      </c>
      <c r="K57" s="715">
        <f>IF(K36=0,0,(K45/K36)/$P$27)</f>
        <v>0</v>
      </c>
      <c r="L57" s="1173"/>
      <c r="M57" s="18"/>
      <c r="N57" s="789"/>
      <c r="O57" s="789"/>
      <c r="P57" s="18"/>
      <c r="Q57" s="309">
        <f>IF(Q36=0,0,(Q45/Q36)/$P$27)</f>
        <v>0</v>
      </c>
      <c r="R57" s="1182"/>
      <c r="V57" s="803"/>
      <c r="W57" s="25"/>
      <c r="X57" s="25"/>
      <c r="Y57" s="25"/>
      <c r="Z57" s="25"/>
      <c r="AA57" s="25"/>
      <c r="AB57" s="25"/>
      <c r="AC57" s="25"/>
      <c r="AD57" s="25"/>
    </row>
    <row r="58" spans="2:30" x14ac:dyDescent="0.25">
      <c r="J58" s="1153" t="s">
        <v>1290</v>
      </c>
      <c r="K58" s="1181">
        <f>IF(K37=0,0,(K46/K37)/$P$27)</f>
        <v>0</v>
      </c>
      <c r="L58" s="1180" t="e">
        <f>L53</f>
        <v>#DIV/0!</v>
      </c>
      <c r="M58" s="328"/>
      <c r="N58" s="789"/>
      <c r="O58" s="789"/>
      <c r="P58" s="328"/>
      <c r="Q58" s="1179" t="e">
        <f>IF(Q37=0,0,(Q46/Q37)/$P$27)</f>
        <v>#DIV/0!</v>
      </c>
      <c r="R58" s="1182"/>
      <c r="S58" s="23"/>
      <c r="T58" s="399"/>
    </row>
    <row r="59" spans="2:30" x14ac:dyDescent="0.25">
      <c r="J59" s="17" t="s">
        <v>1291</v>
      </c>
      <c r="K59" s="309" t="e">
        <f>(K47/K38)/$P$27</f>
        <v>#DIV/0!</v>
      </c>
      <c r="L59" s="1173" t="e">
        <f>IF(K59&gt;K60,1,0)</f>
        <v>#DIV/0!</v>
      </c>
      <c r="M59" s="18"/>
      <c r="N59" s="789"/>
      <c r="O59" s="789"/>
      <c r="P59" s="18"/>
      <c r="Q59" s="309" t="e">
        <f>(Q47/Q38)/$P$27</f>
        <v>#DIV/0!</v>
      </c>
      <c r="R59" s="1174" t="e">
        <f>IF(Q59&gt;Q60,1,0)</f>
        <v>#DIV/0!</v>
      </c>
      <c r="S59" s="18"/>
    </row>
    <row r="60" spans="2:30" ht="15.75" thickBot="1" x14ac:dyDescent="0.3">
      <c r="J60" s="19" t="s">
        <v>1292</v>
      </c>
      <c r="K60" s="717">
        <f>IF(K39=0,0,(K48/K39)/$P$27)</f>
        <v>0</v>
      </c>
      <c r="L60" s="1183" t="e">
        <f>1-L59</f>
        <v>#DIV/0!</v>
      </c>
      <c r="M60" s="663"/>
      <c r="N60" s="792"/>
      <c r="O60" s="792"/>
      <c r="P60" s="663"/>
      <c r="Q60" s="717">
        <f>IF(Q39=0,0,(Q48/Q39)/$P$27)</f>
        <v>0</v>
      </c>
      <c r="R60" s="1184" t="e">
        <f>1-R59</f>
        <v>#DIV/0!</v>
      </c>
      <c r="S60" s="18"/>
    </row>
    <row r="61" spans="2:30" ht="16.5" thickBot="1" x14ac:dyDescent="0.3">
      <c r="J61" s="19"/>
      <c r="K61" s="1348" t="str">
        <f>K30</f>
        <v>6Q8</v>
      </c>
      <c r="L61" s="663"/>
      <c r="M61" s="525" t="s">
        <v>338</v>
      </c>
      <c r="N61" s="27" t="s">
        <v>339</v>
      </c>
      <c r="O61" s="27" t="s">
        <v>340</v>
      </c>
      <c r="P61" s="663"/>
      <c r="Q61" s="1348" t="str">
        <f>Q30</f>
        <v>8Q6</v>
      </c>
      <c r="R61" s="666"/>
      <c r="S61" s="24"/>
    </row>
    <row r="62" spans="2:30" ht="19.5" thickBot="1" x14ac:dyDescent="0.35">
      <c r="G62" s="1186"/>
      <c r="H62" s="572"/>
      <c r="J62" s="806" t="s">
        <v>426</v>
      </c>
      <c r="K62" s="1187" t="e">
        <f>MAX((K58+MAX(K53,K55)),K54)+MAX(K59,K60)</f>
        <v>#DIV/0!</v>
      </c>
      <c r="L62" s="1188"/>
      <c r="M62" s="1188"/>
      <c r="N62" s="1797" t="e">
        <f>MAX(N53,N54,N55,N56)+MAX(O53,O54,O55,O56)</f>
        <v>#DIV/0!</v>
      </c>
      <c r="O62" s="1797"/>
      <c r="P62" s="1188"/>
      <c r="Q62" s="1187" t="e">
        <f>MAX(MAX(Q54+Q57,Q56+Q57),Q53)+IF(Q39=0,Q59,Q60)</f>
        <v>#DIV/0!</v>
      </c>
      <c r="R62" s="809"/>
      <c r="S62" s="18"/>
      <c r="T62" s="400"/>
    </row>
    <row r="63" spans="2:30" ht="16.5" thickBot="1" x14ac:dyDescent="0.3">
      <c r="G63" s="1190"/>
      <c r="H63" s="572"/>
      <c r="J63" s="1800" t="s">
        <v>34</v>
      </c>
      <c r="K63" s="1801"/>
      <c r="L63" s="1801"/>
      <c r="M63" s="1801"/>
      <c r="N63" s="1801"/>
      <c r="O63" s="1801"/>
      <c r="P63" s="1801"/>
      <c r="Q63" s="1801"/>
      <c r="R63" s="1802"/>
      <c r="S63" s="18"/>
      <c r="T63" s="399"/>
    </row>
    <row r="64" spans="2:30" hidden="1" x14ac:dyDescent="0.25">
      <c r="G64" s="1776"/>
      <c r="H64" s="1776"/>
      <c r="J64" s="591" t="s">
        <v>354</v>
      </c>
      <c r="K64" s="1191">
        <v>10</v>
      </c>
      <c r="L64" s="1191"/>
      <c r="M64" s="1191"/>
      <c r="N64" s="1191">
        <v>10</v>
      </c>
      <c r="O64" s="1191"/>
      <c r="P64" s="1191"/>
      <c r="Q64" s="1191">
        <v>10</v>
      </c>
      <c r="R64" s="811"/>
      <c r="S64" s="18"/>
    </row>
    <row r="65" spans="7:30" ht="15.75" thickBot="1" x14ac:dyDescent="0.3">
      <c r="J65" s="17" t="s">
        <v>35</v>
      </c>
      <c r="K65" s="20" t="e">
        <f>IF(K62&gt;0.85-8.5/$E$13,$E$13,MAX($E$12,8.5/(0.85-K62)))</f>
        <v>#DIV/0!</v>
      </c>
      <c r="L65" s="18"/>
      <c r="M65" s="18"/>
      <c r="N65" s="20" t="e">
        <f>IF(N62&gt;0.85-8.5/$E$13,$E$13,MAX($E$12,8.5/(0.85-N62)))</f>
        <v>#DIV/0!</v>
      </c>
      <c r="O65" s="18"/>
      <c r="P65" s="18"/>
      <c r="Q65" s="18" t="e">
        <f>IF(Q62&gt;0.85-8.5/$E$13,$E$13,MAX($E$12,8.5/(0.85-Q62)))</f>
        <v>#DIV/0!</v>
      </c>
      <c r="R65" s="578"/>
      <c r="S65" s="18"/>
    </row>
    <row r="66" spans="7:30" ht="19.5" thickBot="1" x14ac:dyDescent="0.35">
      <c r="J66" s="812" t="s">
        <v>113</v>
      </c>
      <c r="K66" s="6"/>
      <c r="L66" s="690"/>
      <c r="M66" s="690"/>
      <c r="N66" s="6"/>
      <c r="O66" s="1345">
        <f>N66</f>
        <v>0</v>
      </c>
      <c r="P66" s="690"/>
      <c r="Q66" s="6"/>
      <c r="R66" s="526"/>
      <c r="S66" s="26"/>
    </row>
    <row r="67" spans="7:30" ht="15.75" x14ac:dyDescent="0.25">
      <c r="J67" s="560" t="s">
        <v>357</v>
      </c>
      <c r="K67" s="1316"/>
      <c r="L67" s="658"/>
      <c r="M67" s="658"/>
      <c r="N67" s="10"/>
      <c r="O67" s="1102">
        <f>N66-N67-10</f>
        <v>-10</v>
      </c>
      <c r="P67" s="658"/>
      <c r="Q67" s="1280">
        <f>Q68+Q71+5</f>
        <v>5</v>
      </c>
      <c r="R67" s="561"/>
      <c r="S67" s="26"/>
      <c r="T67" s="399"/>
    </row>
    <row r="68" spans="7:30" ht="15.75" x14ac:dyDescent="0.25">
      <c r="J68" s="1153" t="s">
        <v>1299</v>
      </c>
      <c r="K68" s="1194">
        <f>K67+K72+5</f>
        <v>5</v>
      </c>
      <c r="L68" s="327"/>
      <c r="M68" s="327"/>
      <c r="N68" s="1195">
        <f>N67</f>
        <v>0</v>
      </c>
      <c r="O68" s="1195">
        <f>O67</f>
        <v>-10</v>
      </c>
      <c r="P68" s="327"/>
      <c r="Q68" s="1257"/>
      <c r="R68" s="1196"/>
      <c r="S68" s="25"/>
    </row>
    <row r="69" spans="7:30" ht="16.5" thickBot="1" x14ac:dyDescent="0.3">
      <c r="J69" s="1156" t="s">
        <v>1301</v>
      </c>
      <c r="K69" s="1197">
        <f>IF(K34=0,0,K67+IF(K39&gt;0,K74+5,K73+5))</f>
        <v>0</v>
      </c>
      <c r="L69" s="333"/>
      <c r="M69" s="333"/>
      <c r="N69" s="1198">
        <f>N67</f>
        <v>0</v>
      </c>
      <c r="O69" s="1198">
        <f>O67</f>
        <v>-10</v>
      </c>
      <c r="P69" s="333"/>
      <c r="Q69" s="1327"/>
      <c r="R69" s="1199"/>
      <c r="T69" s="399"/>
      <c r="V69" s="275"/>
      <c r="X69" s="14"/>
      <c r="AA69" s="14"/>
      <c r="AD69" s="14"/>
    </row>
    <row r="70" spans="7:30" ht="15.75" x14ac:dyDescent="0.25">
      <c r="G70" s="692" t="s">
        <v>1137</v>
      </c>
      <c r="H70" s="814"/>
      <c r="J70" s="1153" t="s">
        <v>1300</v>
      </c>
      <c r="K70" s="1162">
        <v>0</v>
      </c>
      <c r="L70" s="327"/>
      <c r="M70" s="327"/>
      <c r="N70" s="1195">
        <f>N67</f>
        <v>0</v>
      </c>
      <c r="O70" s="1195">
        <f>O67</f>
        <v>-10</v>
      </c>
      <c r="P70" s="327"/>
      <c r="Q70" s="1292">
        <f>IF(Q35=0,0,Q68+IF(K39&gt;0,Q74+5,Q73+5))</f>
        <v>0</v>
      </c>
      <c r="R70" s="1196"/>
      <c r="S70" s="1648"/>
      <c r="T70" s="1648"/>
      <c r="X70" s="14"/>
      <c r="AA70" s="14"/>
      <c r="AD70" s="14"/>
    </row>
    <row r="71" spans="7:30" ht="16.5" thickBot="1" x14ac:dyDescent="0.3">
      <c r="G71" s="695" t="s">
        <v>116</v>
      </c>
      <c r="H71" s="817"/>
      <c r="J71" s="1156" t="s">
        <v>361</v>
      </c>
      <c r="K71" s="1163">
        <v>0</v>
      </c>
      <c r="L71" s="333"/>
      <c r="M71" s="333"/>
      <c r="N71" s="1203"/>
      <c r="O71" s="1203"/>
      <c r="P71" s="333"/>
      <c r="Q71" s="1318"/>
      <c r="R71" s="1199"/>
      <c r="S71" s="1664"/>
      <c r="T71" s="1664"/>
      <c r="X71" s="14"/>
      <c r="AA71" s="14"/>
      <c r="AD71" s="14"/>
    </row>
    <row r="72" spans="7:30" ht="18.75" x14ac:dyDescent="0.3">
      <c r="J72" s="1153" t="s">
        <v>362</v>
      </c>
      <c r="K72" s="1257"/>
      <c r="L72" s="327"/>
      <c r="M72" s="327"/>
      <c r="N72" s="1206"/>
      <c r="O72" s="1206"/>
      <c r="P72" s="327"/>
      <c r="Q72" s="1330"/>
      <c r="R72" s="570"/>
      <c r="S72" s="1821"/>
      <c r="T72" s="1822"/>
      <c r="X72" s="14"/>
      <c r="AA72" s="14"/>
      <c r="AD72" s="14"/>
    </row>
    <row r="73" spans="7:30" ht="15.75" x14ac:dyDescent="0.25">
      <c r="J73" s="1156" t="s">
        <v>363</v>
      </c>
      <c r="K73" s="1197">
        <f>IF(K39&gt;0,K74+K72+5,K66-K68-10)</f>
        <v>-15</v>
      </c>
      <c r="L73" s="1177"/>
      <c r="M73" s="1177"/>
      <c r="N73" s="1207"/>
      <c r="O73" s="1202"/>
      <c r="P73" s="1177"/>
      <c r="Q73" s="1197">
        <f>IF(Q39&gt;0,Q74+Q71+5,Q66-Q67-10)</f>
        <v>-15</v>
      </c>
      <c r="R73" s="570"/>
      <c r="T73" s="399"/>
    </row>
    <row r="74" spans="7:30" ht="16.5" thickBot="1" x14ac:dyDescent="0.3">
      <c r="J74" s="19" t="s">
        <v>364</v>
      </c>
      <c r="K74" s="1349">
        <f>IF(K39=0,0,K66-K68-10)</f>
        <v>0</v>
      </c>
      <c r="L74" s="663"/>
      <c r="M74" s="663"/>
      <c r="N74" s="1332"/>
      <c r="O74" s="805"/>
      <c r="P74" s="663"/>
      <c r="Q74" s="1331">
        <f>IF(Q39=0,0,Q66-Q67-10)</f>
        <v>0</v>
      </c>
      <c r="R74" s="666"/>
    </row>
    <row r="75" spans="7:30" ht="15.75" x14ac:dyDescent="0.25">
      <c r="J75" s="1211" t="s">
        <v>357</v>
      </c>
      <c r="K75" s="1108" t="e">
        <f>$E$15*K67+(1-$E$15)*IF(L53=1,MAX(K53,K55)/K62*(K66-15),(K76-5)*K53/(K53+K58))</f>
        <v>#DIV/0!</v>
      </c>
      <c r="L75" s="1350"/>
      <c r="M75" s="1350"/>
      <c r="N75" s="1108" t="e">
        <f>E15*N67+(1-E15)*(N66-10)*MAX(N53,N54,N55,N56)/N62</f>
        <v>#DIV/0!</v>
      </c>
      <c r="O75" s="1108" t="e">
        <f>N66-10-N75</f>
        <v>#DIV/0!</v>
      </c>
      <c r="P75" s="1350"/>
      <c r="Q75" s="1108" t="e">
        <f>E15*Q67+(1-E15)*IF(R53=1,Q53/Q62*(Q66-15),Q76+5+Q79)</f>
        <v>#DIV/0!</v>
      </c>
      <c r="R75" s="833"/>
    </row>
    <row r="76" spans="7:30" ht="15.75" x14ac:dyDescent="0.25">
      <c r="J76" s="1211" t="s">
        <v>358</v>
      </c>
      <c r="K76" s="1108" t="e">
        <f>E15*K68+(1-E15)*IF(L54=1,K54/K62*(K66-10),K75+K80+5)</f>
        <v>#DIV/0!</v>
      </c>
      <c r="L76" s="831"/>
      <c r="M76" s="831"/>
      <c r="N76" s="1108" t="e">
        <f>N75</f>
        <v>#DIV/0!</v>
      </c>
      <c r="O76" s="1108" t="e">
        <f>O75</f>
        <v>#DIV/0!</v>
      </c>
      <c r="P76" s="831"/>
      <c r="Q76" s="1108" t="e">
        <f>$E$15*Q68+(1-$E$15)*IF(R54=1,MAX(Q54,Q56)/Q62*(Q66-15),Q75-5-Q79)</f>
        <v>#DIV/0!</v>
      </c>
      <c r="R76" s="833"/>
    </row>
    <row r="77" spans="7:30" ht="16.5" thickBot="1" x14ac:dyDescent="0.3">
      <c r="J77" s="1213" t="s">
        <v>1301</v>
      </c>
      <c r="K77" s="1214">
        <f>$E$15*K69+(1-$E$15)*IF(K34=0,0,IF(K39=1,K75+K82+5,K75+K81+5))</f>
        <v>0</v>
      </c>
      <c r="L77" s="1351"/>
      <c r="M77" s="1351"/>
      <c r="N77" s="1214" t="e">
        <f>N75</f>
        <v>#DIV/0!</v>
      </c>
      <c r="O77" s="1214" t="e">
        <f>O75</f>
        <v>#DIV/0!</v>
      </c>
      <c r="P77" s="1351"/>
      <c r="Q77" s="1295"/>
      <c r="R77" s="1216"/>
      <c r="T77" s="399"/>
    </row>
    <row r="78" spans="7:30" ht="15.75" x14ac:dyDescent="0.25">
      <c r="G78" s="1823" t="s">
        <v>121</v>
      </c>
      <c r="H78" s="1824"/>
      <c r="J78" s="1217" t="s">
        <v>1300</v>
      </c>
      <c r="K78" s="1352">
        <v>0</v>
      </c>
      <c r="L78" s="1353"/>
      <c r="M78" s="1353"/>
      <c r="N78" s="1220" t="e">
        <f>N75</f>
        <v>#DIV/0!</v>
      </c>
      <c r="O78" s="1220" t="e">
        <f>O75</f>
        <v>#DIV/0!</v>
      </c>
      <c r="P78" s="1353"/>
      <c r="Q78" s="1214">
        <f>$E$15*Q70+(1-$E$15)*IF(Q35=0,0,IF(Q39=1,Q76+Q82+5,Q76+Q81+5))</f>
        <v>0</v>
      </c>
      <c r="R78" s="1221"/>
    </row>
    <row r="79" spans="7:30" ht="16.5" thickBot="1" x14ac:dyDescent="0.3">
      <c r="G79" s="1827" t="s">
        <v>855</v>
      </c>
      <c r="H79" s="1828"/>
      <c r="J79" s="1211" t="s">
        <v>361</v>
      </c>
      <c r="K79" s="1354">
        <v>0</v>
      </c>
      <c r="L79" s="1355"/>
      <c r="M79" s="1355"/>
      <c r="N79" s="1356"/>
      <c r="O79" s="1356"/>
      <c r="P79" s="1355"/>
      <c r="Q79" s="1225" t="e">
        <f>$E$15*Q71+(1-$E$15)*(Q57/Q62*(Q66-15))</f>
        <v>#DIV/0!</v>
      </c>
      <c r="R79" s="833"/>
    </row>
    <row r="80" spans="7:30" ht="15.75" x14ac:dyDescent="0.25">
      <c r="J80" s="1217" t="s">
        <v>362</v>
      </c>
      <c r="K80" s="1225" t="e">
        <f>$E$15*K72+(1-$E$15)*IF(L53=1,K58/K62*(K66-15),K76-K75-5)</f>
        <v>#DIV/0!</v>
      </c>
      <c r="L80" s="1357"/>
      <c r="M80" s="1357"/>
      <c r="N80" s="1358"/>
      <c r="O80" s="1359"/>
      <c r="P80" s="1357"/>
      <c r="Q80" s="1360"/>
      <c r="R80" s="1221"/>
    </row>
    <row r="81" spans="5:20" ht="15.75" x14ac:dyDescent="0.25">
      <c r="J81" s="1211" t="s">
        <v>363</v>
      </c>
      <c r="K81" s="1108" t="e">
        <f>$E$15*K73+(1-$E$15)*IF(K39= 0,MAX(K59/K62*(K66-10),K66-K76-10),K80+K82+5)</f>
        <v>#DIV/0!</v>
      </c>
      <c r="L81" s="1361"/>
      <c r="M81" s="1355"/>
      <c r="N81" s="1362"/>
      <c r="O81" s="1362"/>
      <c r="P81" s="1363"/>
      <c r="Q81" s="1108" t="e">
        <f>$E$15*Q73+(1-$E$15)*IF(Q39= 0,MAX(Q59/Q62*(Q66-15),Q66-Q75-10),Q79+Q82+5)</f>
        <v>#DIV/0!</v>
      </c>
      <c r="R81" s="1231"/>
    </row>
    <row r="82" spans="5:20" ht="16.5" thickBot="1" x14ac:dyDescent="0.3">
      <c r="E82" s="31"/>
      <c r="J82" s="1232" t="s">
        <v>364</v>
      </c>
      <c r="K82" s="1108">
        <f>E15*K74+(1-E15)*IF(K39=0,0,MAX(K66-K76-10,K60/K62*(K66-10)))</f>
        <v>0</v>
      </c>
      <c r="L82" s="1355"/>
      <c r="M82" s="1355"/>
      <c r="N82" s="1356"/>
      <c r="O82" s="1356"/>
      <c r="P82" s="1355"/>
      <c r="Q82" s="1108">
        <f>E15*Q74+(1-E15)*IF(Q39=0,0,MAX(Q66-Q75-10,Q60/Q62*(Q66-10)))</f>
        <v>0</v>
      </c>
      <c r="R82" s="833"/>
      <c r="T82" s="399"/>
    </row>
    <row r="83" spans="5:20" x14ac:dyDescent="0.25">
      <c r="J83" s="17" t="s">
        <v>366</v>
      </c>
      <c r="K83" s="712" t="e">
        <f>K53/(K75/$K$66)</f>
        <v>#DIV/0!</v>
      </c>
      <c r="L83" s="658"/>
      <c r="M83" s="658"/>
      <c r="N83" s="886" t="e">
        <f t="shared" ref="N83:O86" si="6">N53/(N75/$N$66)</f>
        <v>#DIV/0!</v>
      </c>
      <c r="O83" s="886" t="e">
        <f t="shared" si="6"/>
        <v>#DIV/0!</v>
      </c>
      <c r="P83" s="658"/>
      <c r="Q83" s="712" t="e">
        <f>Q53/(Q75/$Q$66)</f>
        <v>#DIV/0!</v>
      </c>
      <c r="R83" s="561"/>
    </row>
    <row r="84" spans="5:20" x14ac:dyDescent="0.25">
      <c r="J84" s="1153" t="s">
        <v>1302</v>
      </c>
      <c r="K84" s="1181" t="e">
        <f>K54/(K76/$K$66)</f>
        <v>#DIV/0!</v>
      </c>
      <c r="L84" s="328"/>
      <c r="M84" s="328"/>
      <c r="N84" s="1233" t="e">
        <f t="shared" si="6"/>
        <v>#DIV/0!</v>
      </c>
      <c r="O84" s="1233" t="e">
        <f t="shared" si="6"/>
        <v>#DIV/0!</v>
      </c>
      <c r="P84" s="328"/>
      <c r="Q84" s="1181" t="e">
        <f>Q54/(Q76/$Q$66)</f>
        <v>#DIV/0!</v>
      </c>
      <c r="R84" s="1196"/>
    </row>
    <row r="85" spans="5:20" x14ac:dyDescent="0.25">
      <c r="J85" s="1156" t="s">
        <v>1303</v>
      </c>
      <c r="K85" s="1175">
        <f>IF(K34=0,0,K55/(K77/$K$66))</f>
        <v>0</v>
      </c>
      <c r="L85" s="1177"/>
      <c r="M85" s="1177"/>
      <c r="N85" s="1234" t="e">
        <f t="shared" si="6"/>
        <v>#DIV/0!</v>
      </c>
      <c r="O85" s="1234" t="e">
        <f t="shared" si="6"/>
        <v>#DIV/0!</v>
      </c>
      <c r="P85" s="1177"/>
      <c r="Q85" s="1235"/>
      <c r="R85" s="1199"/>
    </row>
    <row r="86" spans="5:20" x14ac:dyDescent="0.25">
      <c r="J86" s="1153" t="s">
        <v>1304</v>
      </c>
      <c r="K86" s="1179"/>
      <c r="L86" s="328"/>
      <c r="M86" s="328"/>
      <c r="N86" s="1233" t="e">
        <f t="shared" si="6"/>
        <v>#DIV/0!</v>
      </c>
      <c r="O86" s="1233" t="e">
        <f t="shared" si="6"/>
        <v>#DIV/0!</v>
      </c>
      <c r="P86" s="328"/>
      <c r="Q86" s="1181">
        <f>IF(Q35=0,0,Q56/(Q78/$Q66))</f>
        <v>0</v>
      </c>
      <c r="R86" s="1196"/>
    </row>
    <row r="87" spans="5:20" x14ac:dyDescent="0.25">
      <c r="J87" s="1156" t="s">
        <v>370</v>
      </c>
      <c r="K87" s="1235"/>
      <c r="L87" s="1177"/>
      <c r="M87" s="1177"/>
      <c r="N87" s="1236"/>
      <c r="O87" s="1202"/>
      <c r="P87" s="1177"/>
      <c r="Q87" s="1175" t="e">
        <f>Q57/(Q79/Q66)</f>
        <v>#DIV/0!</v>
      </c>
      <c r="R87" s="1199"/>
    </row>
    <row r="88" spans="5:20" x14ac:dyDescent="0.25">
      <c r="J88" s="1153" t="s">
        <v>371</v>
      </c>
      <c r="K88" s="1181" t="e">
        <f>K58/(K80/$K$66)</f>
        <v>#DIV/0!</v>
      </c>
      <c r="L88" s="328"/>
      <c r="M88" s="328"/>
      <c r="N88" s="1237"/>
      <c r="O88" s="1200"/>
      <c r="P88" s="328"/>
      <c r="Q88" s="1179"/>
      <c r="R88" s="1196"/>
    </row>
    <row r="89" spans="5:20" ht="15.75" thickBot="1" x14ac:dyDescent="0.3">
      <c r="J89" s="1156" t="s">
        <v>372</v>
      </c>
      <c r="K89" s="309" t="e">
        <f>K59/(K81/$K$66)</f>
        <v>#DIV/0!</v>
      </c>
      <c r="L89" s="18"/>
      <c r="M89" s="18"/>
      <c r="N89" s="1238"/>
      <c r="O89" s="659"/>
      <c r="P89" s="18"/>
      <c r="Q89" s="309" t="e">
        <f>Q59/(Q81/$Q$66)</f>
        <v>#DIV/0!</v>
      </c>
      <c r="R89" s="570"/>
    </row>
    <row r="90" spans="5:20" ht="15.75" thickBot="1" x14ac:dyDescent="0.3">
      <c r="E90" s="315" t="s">
        <v>946</v>
      </c>
      <c r="F90" s="316" t="s">
        <v>948</v>
      </c>
      <c r="J90" s="19" t="s">
        <v>373</v>
      </c>
      <c r="K90" s="717">
        <f>IF(K39=0,0,K60/(K82/$K$66))</f>
        <v>0</v>
      </c>
      <c r="L90" s="663"/>
      <c r="M90" s="663"/>
      <c r="N90" s="1239"/>
      <c r="O90" s="805"/>
      <c r="P90" s="663"/>
      <c r="Q90" s="717">
        <f>IF(Q39=0,0,Q60/(Q82/$Q$66))</f>
        <v>0</v>
      </c>
      <c r="R90" s="666"/>
    </row>
    <row r="91" spans="5:20" x14ac:dyDescent="0.25">
      <c r="E91" s="317">
        <v>1</v>
      </c>
      <c r="F91" s="318">
        <v>0.33</v>
      </c>
      <c r="J91" s="560" t="s">
        <v>374</v>
      </c>
      <c r="K91" s="712" t="e">
        <f>MAX(0,(1-VLOOKUP($E$16,$E$91:$F$96,2,FALSE)*K75/$K$66)/(1-K75/$K$66))</f>
        <v>#N/A</v>
      </c>
      <c r="L91" s="658"/>
      <c r="M91" s="658"/>
      <c r="N91" s="886">
        <v>1</v>
      </c>
      <c r="O91" s="886">
        <v>1</v>
      </c>
      <c r="P91" s="658"/>
      <c r="Q91" s="712">
        <v>1</v>
      </c>
      <c r="R91" s="561"/>
    </row>
    <row r="92" spans="5:20" ht="15.75" thickBot="1" x14ac:dyDescent="0.3">
      <c r="E92" s="317">
        <v>2</v>
      </c>
      <c r="F92" s="318">
        <v>0.67</v>
      </c>
      <c r="J92" s="1153" t="s">
        <v>375</v>
      </c>
      <c r="K92" s="1181">
        <v>1</v>
      </c>
      <c r="L92" s="328"/>
      <c r="M92" s="328"/>
      <c r="N92" s="309" t="e">
        <f>MAX(0,(1-VLOOKUP($E$16,$E$91:$F$96,2,FALSE)*N76/$N$66)/(1-N76/$N$66))</f>
        <v>#N/A</v>
      </c>
      <c r="O92" s="1233">
        <v>1</v>
      </c>
      <c r="P92" s="328"/>
      <c r="Q92" s="1181">
        <v>1</v>
      </c>
      <c r="R92" s="1196"/>
    </row>
    <row r="93" spans="5:20" x14ac:dyDescent="0.25">
      <c r="E93" s="317">
        <v>3</v>
      </c>
      <c r="F93" s="318">
        <v>1</v>
      </c>
      <c r="J93" s="1156" t="s">
        <v>376</v>
      </c>
      <c r="K93" s="712" t="e">
        <f>MAX(0,(1-VLOOKUP($E$16,E93:F98,2,FALSE)*K77/$K$66)/(1-K77/$K$66))</f>
        <v>#N/A</v>
      </c>
      <c r="L93" s="1177"/>
      <c r="M93" s="1177"/>
      <c r="N93" s="1234">
        <v>1</v>
      </c>
      <c r="O93" s="1234">
        <v>1</v>
      </c>
      <c r="P93" s="1177"/>
      <c r="Q93" s="1235">
        <v>0.7</v>
      </c>
      <c r="R93" s="1199"/>
    </row>
    <row r="94" spans="5:20" x14ac:dyDescent="0.25">
      <c r="E94" s="317">
        <v>4</v>
      </c>
      <c r="F94" s="318">
        <v>1.33</v>
      </c>
      <c r="J94" s="1153" t="s">
        <v>377</v>
      </c>
      <c r="K94" s="1179"/>
      <c r="L94" s="328"/>
      <c r="M94" s="328"/>
      <c r="N94" s="309" t="e">
        <f>MAX(0,(1-VLOOKUP($E$16,$E$91:$F$96,2,FALSE)*N78/$N$66)/(1-N78/$N$66))</f>
        <v>#N/A</v>
      </c>
      <c r="O94" s="1233">
        <v>1</v>
      </c>
      <c r="P94" s="328"/>
      <c r="Q94" s="309">
        <v>1</v>
      </c>
      <c r="R94" s="1196"/>
    </row>
    <row r="95" spans="5:20" x14ac:dyDescent="0.25">
      <c r="E95" s="317">
        <v>5</v>
      </c>
      <c r="F95" s="318">
        <v>1.67</v>
      </c>
      <c r="J95" s="1156" t="s">
        <v>378</v>
      </c>
      <c r="K95" s="1235"/>
      <c r="L95" s="1177"/>
      <c r="M95" s="1177"/>
      <c r="N95" s="1236"/>
      <c r="O95" s="1202"/>
      <c r="P95" s="1177"/>
      <c r="Q95" s="1175">
        <v>1</v>
      </c>
      <c r="R95" s="1199"/>
    </row>
    <row r="96" spans="5:20" ht="15.75" thickBot="1" x14ac:dyDescent="0.3">
      <c r="E96" s="330">
        <v>6</v>
      </c>
      <c r="F96" s="331">
        <v>2</v>
      </c>
      <c r="J96" s="1153" t="s">
        <v>379</v>
      </c>
      <c r="K96" s="1181">
        <v>1</v>
      </c>
      <c r="L96" s="328"/>
      <c r="M96" s="328"/>
      <c r="N96" s="1237"/>
      <c r="O96" s="1200"/>
      <c r="P96" s="328"/>
      <c r="Q96" s="1179">
        <v>1</v>
      </c>
      <c r="R96" s="1196"/>
    </row>
    <row r="97" spans="10:22" x14ac:dyDescent="0.25">
      <c r="J97" s="1156" t="s">
        <v>380</v>
      </c>
      <c r="K97" s="309">
        <v>1</v>
      </c>
      <c r="L97" s="18"/>
      <c r="M97" s="18"/>
      <c r="N97" s="1238"/>
      <c r="O97" s="659"/>
      <c r="P97" s="18"/>
      <c r="Q97" s="309">
        <v>1</v>
      </c>
      <c r="R97" s="570"/>
    </row>
    <row r="98" spans="10:22" ht="15.75" thickBot="1" x14ac:dyDescent="0.3">
      <c r="J98" s="19" t="s">
        <v>381</v>
      </c>
      <c r="K98" s="717">
        <v>1</v>
      </c>
      <c r="L98" s="663"/>
      <c r="M98" s="663"/>
      <c r="N98" s="1239"/>
      <c r="O98" s="805"/>
      <c r="P98" s="663"/>
      <c r="Q98" s="717">
        <v>1</v>
      </c>
      <c r="R98" s="666"/>
      <c r="S98" s="1681"/>
      <c r="T98" s="1681"/>
      <c r="U98" s="1681"/>
    </row>
    <row r="99" spans="10:22" ht="16.5" thickBot="1" x14ac:dyDescent="0.3">
      <c r="J99" s="461"/>
      <c r="K99" s="1786" t="s">
        <v>326</v>
      </c>
      <c r="L99" s="1786"/>
      <c r="M99" s="227" t="s">
        <v>338</v>
      </c>
      <c r="N99" s="424" t="s">
        <v>339</v>
      </c>
      <c r="O99" s="424" t="s">
        <v>340</v>
      </c>
      <c r="P99" s="1024"/>
      <c r="Q99" s="1245" t="str">
        <f>Q29</f>
        <v>QRI  LEG ON 4-8</v>
      </c>
      <c r="R99" s="526"/>
      <c r="S99" s="18"/>
      <c r="T99" s="18"/>
      <c r="U99" s="18"/>
      <c r="V99" s="18"/>
    </row>
    <row r="100" spans="10:22" x14ac:dyDescent="0.25">
      <c r="J100" s="17" t="s">
        <v>382</v>
      </c>
      <c r="K100" s="308" t="e">
        <f>K91*0.5*$K$66*(1-K75/$K$66)^2/(1-MIN(1,K83)*K75/K66)+225*(K83-1+SQRT((K83-1)^2+16*K83/(K41/K83)))</f>
        <v>#N/A</v>
      </c>
      <c r="L100" s="308"/>
      <c r="M100" s="308"/>
      <c r="N100" s="308" t="e">
        <f>N91*0.5*N66*(1-N75/N66)^2/(1-N53)+225*(N83-1+SQRT((N83-1)^2+16*N83/(N41/N83)))</f>
        <v>#DIV/0!</v>
      </c>
      <c r="O100" s="308" t="e">
        <f>O91*0.5*O66*(1-O75/O66)^2/(1-O53)+225*(O83-1+SQRT((O83-1)^2+16*O83/(O41/O83)))</f>
        <v>#DIV/0!</v>
      </c>
      <c r="P100" s="308"/>
      <c r="Q100" s="308" t="e">
        <f>Q91*0.5*$K$66*(1-Q75/$K$66)^2/(1-MIN(1,Q83)*Q75/Q66)+225*(Q83-1+SQRT((Q83-1)^2+16*Q83/(Q41/Q83)))</f>
        <v>#DIV/0!</v>
      </c>
      <c r="R100" s="570"/>
      <c r="S100" s="18"/>
      <c r="T100" s="18"/>
      <c r="U100" s="18"/>
      <c r="V100" s="18"/>
    </row>
    <row r="101" spans="10:22" x14ac:dyDescent="0.25">
      <c r="J101" s="17" t="s">
        <v>1314</v>
      </c>
      <c r="K101" s="308" t="e">
        <f>K92*0.5*$K$66*(1-K76/$K$66)^2/(1-MIN(1,K84)*K76/K66)+225*(K84-1+SQRT((K84-1)^2+16*K84/(K42/K84)))</f>
        <v>#DIV/0!</v>
      </c>
      <c r="L101" s="308"/>
      <c r="M101" s="308"/>
      <c r="N101" s="308" t="e">
        <f>N92*0.5*N66*(1-N76/N66)^2/(1-N54)+225*(N84-1+SQRT((N84-1)^2+16*N84/(N42/N84)))</f>
        <v>#N/A</v>
      </c>
      <c r="O101" s="308" t="e">
        <f>O92*0.5*O66*(1-O76/O66)^2/(1-O54)+225*(O84-1+SQRT((O84-1)^2+16*O84/(O42/O84)))</f>
        <v>#DIV/0!</v>
      </c>
      <c r="P101" s="308"/>
      <c r="Q101" s="308" t="e">
        <f>Q92*0.5*$K$66*(1-Q76/$K$66)^2/(1-MIN(1,Q84)*Q76/Q66)+225*(Q84-1+SQRT((Q84-1)^2+16*Q84/(Q42/Q84)))</f>
        <v>#DIV/0!</v>
      </c>
      <c r="R101" s="570"/>
      <c r="S101" s="18"/>
      <c r="T101" s="18"/>
      <c r="U101" s="18"/>
      <c r="V101" s="18"/>
    </row>
    <row r="102" spans="10:22" x14ac:dyDescent="0.25">
      <c r="J102" s="1156" t="s">
        <v>1308</v>
      </c>
      <c r="K102" s="1246">
        <f>IF(K34=0,0,K93*0.5*$K$66*(1-K77/$K$66)^2/(1-MIN(1,K85)*K77/K66)+225*(K85-1+SQRT((K85-1)^2+16*K85/(K43/K85))))</f>
        <v>0</v>
      </c>
      <c r="L102" s="1246"/>
      <c r="M102" s="1246"/>
      <c r="N102" s="1246">
        <f>IF(N34=0,0,0.5*N93*N66*(1-N77/N66)^2/(1-N55)+225*(N85-1+SQRT((N85-1)^2+16*N85/(N43/N85))))</f>
        <v>0</v>
      </c>
      <c r="O102" s="1246">
        <f>IF(O34=0,0,0.5*O93*O66*(1-O77/O66)^2/(1-O55)+225*(O85-1+SQRT((O85-1)^2+16*O85/(O43/O85))))</f>
        <v>0</v>
      </c>
      <c r="P102" s="1246"/>
      <c r="Q102" s="1249"/>
      <c r="R102" s="1199"/>
      <c r="S102" s="18"/>
      <c r="T102" s="18"/>
      <c r="U102" s="18"/>
      <c r="V102" s="18"/>
    </row>
    <row r="103" spans="10:22" x14ac:dyDescent="0.25">
      <c r="J103" s="1153" t="s">
        <v>1309</v>
      </c>
      <c r="K103" s="1247"/>
      <c r="L103" s="1248"/>
      <c r="M103" s="1248"/>
      <c r="N103" s="1248">
        <f>IF(N35=0,0,0.5*N94*N66*(1-N78/N66)^2/(1-N56)+225*(N86-1+SQRT((N86-1)^2+16*N86/(N44/N86))))</f>
        <v>0</v>
      </c>
      <c r="O103" s="1248">
        <f>IF(O35=0,0,0.5*O94*O66*(1-O78/O66)^2/(1-O56)+225*(O86-1+SQRT((O86-1)^2+16*O86/(O44/O86))))</f>
        <v>0</v>
      </c>
      <c r="P103" s="1248"/>
      <c r="Q103" s="1248">
        <f>IF(Q35=0,0,Q94*0.5*$Q$66*(1-Q78/$Q$66)^2/(1-MIN(1,Q86)*Q78/Q66)+225*(Q86-1+SQRT((Q86-1)^2+16*Q86/(Q44/Q86))))</f>
        <v>0</v>
      </c>
      <c r="R103" s="1196"/>
      <c r="S103" s="18"/>
      <c r="T103" s="18"/>
      <c r="U103" s="18"/>
      <c r="V103" s="18"/>
    </row>
    <row r="104" spans="10:22" x14ac:dyDescent="0.25">
      <c r="J104" s="1156" t="s">
        <v>386</v>
      </c>
      <c r="K104" s="1249"/>
      <c r="L104" s="1246"/>
      <c r="M104" s="1246"/>
      <c r="N104" s="1249">
        <f>IF(N33=0,0,N78*0.5*N66*(1-N75/N66)^2/(1-N57)+225*(N87-1+SQRT((N87-1)^2+16*N87/(N47/N87))))</f>
        <v>0</v>
      </c>
      <c r="O104" s="1249"/>
      <c r="P104" s="1246"/>
      <c r="Q104" s="1248" t="e">
        <f>Q95*0.5*$Q$66*(1-Q79/$Q$66)^2/(1-MIN(1,Q87)*Q79/Q66)+225*(Q87-1+SQRT((Q87-1)^2+16*Q87/(Q45/Q87)))</f>
        <v>#DIV/0!</v>
      </c>
      <c r="R104" s="1199"/>
      <c r="S104" s="18"/>
      <c r="T104" s="18"/>
      <c r="U104" s="18"/>
      <c r="V104" s="18"/>
    </row>
    <row r="105" spans="10:22" x14ac:dyDescent="0.25">
      <c r="J105" s="1153" t="s">
        <v>387</v>
      </c>
      <c r="K105" s="1248" t="e">
        <f>K96*0.5*$K$66*(1-K80/$K$66)^2/(1-MIN(1,K88)*K80/K66)+225*(K88-1+SQRT((K88-1)^2+16*K88/(K46/K88)))</f>
        <v>#DIV/0!</v>
      </c>
      <c r="L105" s="1248"/>
      <c r="M105" s="1248"/>
      <c r="N105" s="1247">
        <f>IF(N33=0,0,N78*0.5*N66*(1-N77/N66)^2/(1-N58)+225*(N88-1+SQRT((N88-1)^2+16*N88/(N48/N88))))</f>
        <v>0</v>
      </c>
      <c r="O105" s="1247"/>
      <c r="P105" s="1248"/>
      <c r="Q105" s="1247"/>
      <c r="R105" s="1196"/>
      <c r="S105" s="18"/>
      <c r="T105" s="18"/>
      <c r="U105" s="18"/>
      <c r="V105" s="18"/>
    </row>
    <row r="106" spans="10:22" x14ac:dyDescent="0.25">
      <c r="J106" s="1156" t="s">
        <v>388</v>
      </c>
      <c r="K106" s="1246" t="e">
        <f>K97*0.5*$K$66*(1-K81/$K$66)^2/(1-MIN(1,K89)*K81/K66)+225*(K89-1+SQRT((K89-1)^2+16*K89/(K47/K89)))</f>
        <v>#DIV/0!</v>
      </c>
      <c r="L106" s="1246"/>
      <c r="M106" s="1246"/>
      <c r="N106" s="1249"/>
      <c r="O106" s="1249"/>
      <c r="P106" s="1246"/>
      <c r="Q106" s="1246" t="e">
        <f>Q97*0.5*$K$66*(1-Q81/$K$66)^2/(1-MIN(1,Q89)*Q81/Q66)+225*(Q89-1+SQRT((Q89-1)^2+16*Q89/(Q47/Q89)))</f>
        <v>#DIV/0!</v>
      </c>
      <c r="R106" s="1199"/>
      <c r="S106" s="18"/>
      <c r="T106" s="18"/>
      <c r="U106" s="18"/>
      <c r="V106" s="18"/>
    </row>
    <row r="107" spans="10:22" ht="15.75" thickBot="1" x14ac:dyDescent="0.3">
      <c r="J107" s="19" t="s">
        <v>389</v>
      </c>
      <c r="K107" s="718">
        <f>IF(K39=0,0,K98*0.5*$K$66*(1-K82/$K$66)^2/(1-MIN(1,K90)*K82/K66)+225*(K90-1+SQRT((K90-1)^2+16*K90/(K48/K90))))</f>
        <v>0</v>
      </c>
      <c r="L107" s="718"/>
      <c r="M107" s="718"/>
      <c r="N107" s="800"/>
      <c r="O107" s="800"/>
      <c r="P107" s="718"/>
      <c r="Q107" s="718">
        <f>IF(Q39=0,0,Q98*0.5*$K$66*(1-Q82/$K$66)^2/(1-MIN(1,Q90)*Q82/Q66)+225*(Q90-1+SQRT((Q90-1)^2+16*Q90/(Q48/Q90))))</f>
        <v>0</v>
      </c>
      <c r="R107" s="666"/>
      <c r="S107" s="18"/>
      <c r="T107" s="18"/>
      <c r="U107" s="18"/>
      <c r="V107" s="18"/>
    </row>
    <row r="108" spans="10:22" ht="15.75" thickBot="1" x14ac:dyDescent="0.3">
      <c r="J108" s="19"/>
      <c r="K108" s="718"/>
      <c r="L108" s="718"/>
      <c r="M108" s="718"/>
      <c r="N108" s="718"/>
      <c r="O108" s="718"/>
      <c r="P108" s="718"/>
      <c r="Q108" s="718"/>
      <c r="R108" s="666"/>
      <c r="S108" s="18"/>
      <c r="T108" s="18"/>
      <c r="U108" s="18"/>
      <c r="V108" s="18"/>
    </row>
    <row r="109" spans="10:22" ht="19.5" thickBot="1" x14ac:dyDescent="0.35">
      <c r="J109" s="1250" t="s">
        <v>138</v>
      </c>
      <c r="K109" s="1312" t="e">
        <f>SUMPRODUCT(K100:K107,K41:K48)/SUM(K41:K48)</f>
        <v>#N/A</v>
      </c>
      <c r="L109" s="1252"/>
      <c r="M109" s="1252"/>
      <c r="N109" s="1825" t="e">
        <f>SUMPRODUCT(N100:O103,N41:O44)/SUM(N41:O44)</f>
        <v>#DIV/0!</v>
      </c>
      <c r="O109" s="1826"/>
      <c r="P109" s="1252"/>
      <c r="Q109" s="1312" t="e">
        <f>SUMPRODUCT(Q100:Q107,Q41:Q48)/SUM(Q41:Q48)</f>
        <v>#DIV/0!</v>
      </c>
      <c r="R109" s="1253"/>
      <c r="S109" s="624"/>
      <c r="T109" s="1789"/>
      <c r="U109" s="1789"/>
      <c r="V109" s="624"/>
    </row>
    <row r="110" spans="10:22" ht="15.75" thickBot="1" x14ac:dyDescent="0.3">
      <c r="K110" s="20"/>
      <c r="L110" s="308"/>
      <c r="M110" s="308"/>
      <c r="N110" s="20"/>
      <c r="O110" s="308"/>
      <c r="P110" s="308"/>
      <c r="Q110" s="308"/>
      <c r="R110" s="308"/>
    </row>
    <row r="111" spans="10:22" ht="16.5" thickBot="1" x14ac:dyDescent="0.3">
      <c r="J111" s="560"/>
      <c r="K111" s="1781" t="s">
        <v>326</v>
      </c>
      <c r="L111" s="1781"/>
      <c r="M111" s="227" t="s">
        <v>338</v>
      </c>
      <c r="N111" s="424" t="s">
        <v>339</v>
      </c>
      <c r="O111" s="424" t="s">
        <v>340</v>
      </c>
      <c r="P111" s="658"/>
      <c r="Q111" s="1254" t="str">
        <f>Q49</f>
        <v>QRI ON 4-8</v>
      </c>
      <c r="R111" s="561"/>
    </row>
    <row r="112" spans="10:22" x14ac:dyDescent="0.25">
      <c r="J112" s="560" t="s">
        <v>390</v>
      </c>
      <c r="K112" s="731" t="e">
        <f>2*25*K100*(K41/K83)/(3600*K32)</f>
        <v>#N/A</v>
      </c>
      <c r="L112" s="731"/>
      <c r="M112" s="731"/>
      <c r="N112" s="731" t="e">
        <f>2*25*N100*(N41/N83)/(3600*N32)</f>
        <v>#DIV/0!</v>
      </c>
      <c r="O112" s="731" t="e">
        <f>2*25*O100*(O41/O83)/(3600*O32)</f>
        <v>#DIV/0!</v>
      </c>
      <c r="P112" s="731"/>
      <c r="Q112" s="731" t="e">
        <f>2*25*Q100*(Q41/Q83)/(3600*Q32)</f>
        <v>#DIV/0!</v>
      </c>
      <c r="R112" s="561"/>
    </row>
    <row r="113" spans="10:18" x14ac:dyDescent="0.25">
      <c r="J113" s="17" t="s">
        <v>1239</v>
      </c>
      <c r="K113" s="20" t="e">
        <f>2*25*K101*(K42/K84)/(3600*K33)</f>
        <v>#DIV/0!</v>
      </c>
      <c r="L113" s="20"/>
      <c r="M113" s="20"/>
      <c r="N113" s="20" t="e">
        <f>2*25*N101*(N42/N84)/(3600*N33)</f>
        <v>#N/A</v>
      </c>
      <c r="O113" s="20" t="e">
        <f>2*25*O101*(O42/O84)/(3600*O33)</f>
        <v>#DIV/0!</v>
      </c>
      <c r="P113" s="20"/>
      <c r="Q113" s="20" t="e">
        <f>2*25*Q101*(Q42/Q84)/(3600*Q33)</f>
        <v>#DIV/0!</v>
      </c>
      <c r="R113" s="570"/>
    </row>
    <row r="114" spans="10:18" x14ac:dyDescent="0.25">
      <c r="J114" s="1156" t="s">
        <v>1240</v>
      </c>
      <c r="K114" s="342">
        <f>IF(K34=0,0,2*25*K102*(K43/K85)/(3600*K34))</f>
        <v>0</v>
      </c>
      <c r="L114" s="342"/>
      <c r="M114" s="342"/>
      <c r="N114" s="342">
        <f>IF(N34=0,0,2*25*N102*(N43/N85)/(3600*N34))</f>
        <v>0</v>
      </c>
      <c r="O114" s="342">
        <f>IF(O34=0,0,2*25*O102*(O43/O85)/(3600*O34))</f>
        <v>0</v>
      </c>
      <c r="P114" s="342"/>
      <c r="Q114" s="1163" t="e">
        <f>2*25*Q102*(Q43/Q85)/(3600*Q34)</f>
        <v>#DIV/0!</v>
      </c>
      <c r="R114" s="1199"/>
    </row>
    <row r="115" spans="10:18" x14ac:dyDescent="0.25">
      <c r="J115" s="1153" t="s">
        <v>1241</v>
      </c>
      <c r="K115" s="1162"/>
      <c r="L115" s="1154"/>
      <c r="M115" s="1154"/>
      <c r="N115" s="1154">
        <f>IF(N35=0,0,2*25*N103*(N44/N86)/(3600*N35))</f>
        <v>0</v>
      </c>
      <c r="O115" s="1154">
        <f>IF(O35=0,0,2*25*O103*(O44/O86)/(3600*O35))</f>
        <v>0</v>
      </c>
      <c r="P115" s="1154"/>
      <c r="Q115" s="342">
        <f>IF(Q35=0,0,2*25*Q103*(Q44/Q35)/(3600*Q86))</f>
        <v>0</v>
      </c>
      <c r="R115" s="1196"/>
    </row>
    <row r="116" spans="10:18" x14ac:dyDescent="0.25">
      <c r="J116" s="17" t="s">
        <v>394</v>
      </c>
      <c r="K116" s="504"/>
      <c r="L116" s="20"/>
      <c r="M116" s="20"/>
      <c r="N116" s="504"/>
      <c r="O116" s="504"/>
      <c r="P116" s="20"/>
      <c r="Q116" s="20" t="e">
        <f>2*25*Q104*(Q45/Q36)/(3600*Q90)</f>
        <v>#DIV/0!</v>
      </c>
      <c r="R116" s="570"/>
    </row>
    <row r="117" spans="10:18" x14ac:dyDescent="0.25">
      <c r="J117" s="1153" t="s">
        <v>395</v>
      </c>
      <c r="K117" s="20" t="e">
        <f>2*25*K105*(K46/K88)/(3600*K37)</f>
        <v>#DIV/0!</v>
      </c>
      <c r="L117" s="1154"/>
      <c r="M117" s="1154"/>
      <c r="N117" s="1162"/>
      <c r="O117" s="1162"/>
      <c r="P117" s="1154"/>
      <c r="Q117" s="504"/>
      <c r="R117" s="1196"/>
    </row>
    <row r="118" spans="10:18" x14ac:dyDescent="0.25">
      <c r="J118" s="1156" t="s">
        <v>396</v>
      </c>
      <c r="K118" s="20" t="e">
        <f>2*25*K106*(K47/K89)/(3600*K38)</f>
        <v>#DIV/0!</v>
      </c>
      <c r="L118" s="342"/>
      <c r="M118" s="342"/>
      <c r="N118" s="1163"/>
      <c r="O118" s="1163"/>
      <c r="P118" s="342"/>
      <c r="Q118" s="20" t="e">
        <f>2*25*Q106*(Q47/Q89)/(3600*Q38)</f>
        <v>#DIV/0!</v>
      </c>
      <c r="R118" s="1199"/>
    </row>
    <row r="119" spans="10:18" ht="15.75" thickBot="1" x14ac:dyDescent="0.3">
      <c r="J119" s="19" t="s">
        <v>397</v>
      </c>
      <c r="K119" s="671">
        <f>IF(K39=0,0,2*25*K107*(K48/K90)/(3600*K39))</f>
        <v>0</v>
      </c>
      <c r="L119" s="671"/>
      <c r="M119" s="671"/>
      <c r="N119" s="1164"/>
      <c r="O119" s="1164"/>
      <c r="P119" s="671"/>
      <c r="Q119" s="671">
        <f>IF(Q39=0,0,2*25*Q107*(Q48/Q90)/(3600*Q39))</f>
        <v>0</v>
      </c>
      <c r="R119" s="666"/>
    </row>
  </sheetData>
  <sheetProtection algorithmName="SHA-512" hashValue="t+SwI/ECKx2spY5D/mydonCOUiZfcp5DKCTT7fvBwgETHAuvPzpm90w6HFo69ui+6tSx0yZXgApIKr+V7PmIcg==" saltValue="Cy4drCCdF1PKBR4aHMaQaQ==" spinCount="100000" sheet="1" objects="1" scenarios="1"/>
  <mergeCells count="34">
    <mergeCell ref="K111:L111"/>
    <mergeCell ref="N62:O62"/>
    <mergeCell ref="J63:R63"/>
    <mergeCell ref="G64:H64"/>
    <mergeCell ref="S70:T70"/>
    <mergeCell ref="S71:T71"/>
    <mergeCell ref="S72:T72"/>
    <mergeCell ref="G78:H78"/>
    <mergeCell ref="S98:U98"/>
    <mergeCell ref="K99:L99"/>
    <mergeCell ref="N109:O109"/>
    <mergeCell ref="T109:U109"/>
    <mergeCell ref="G79:H79"/>
    <mergeCell ref="K49:L49"/>
    <mergeCell ref="Q49:R49"/>
    <mergeCell ref="G13:H13"/>
    <mergeCell ref="G21:H21"/>
    <mergeCell ref="G22:H22"/>
    <mergeCell ref="L27:O27"/>
    <mergeCell ref="K29:L29"/>
    <mergeCell ref="N29:O29"/>
    <mergeCell ref="Q29:R29"/>
    <mergeCell ref="K30:L30"/>
    <mergeCell ref="N30:O30"/>
    <mergeCell ref="Q30:R30"/>
    <mergeCell ref="B39:H39"/>
    <mergeCell ref="J29:J31"/>
    <mergeCell ref="C3:E3"/>
    <mergeCell ref="J3:V3"/>
    <mergeCell ref="G6:I6"/>
    <mergeCell ref="X6:Y6"/>
    <mergeCell ref="G7:H7"/>
    <mergeCell ref="X7:Y7"/>
    <mergeCell ref="E5:I5"/>
  </mergeCells>
  <conditionalFormatting sqref="K100:K108 Q108 N100:N107 O100:O103">
    <cfRule type="colorScale" priority="28">
      <colorScale>
        <cfvo type="min"/>
        <cfvo type="percentile" val="50"/>
        <cfvo type="max"/>
        <color rgb="FF63BE7B"/>
        <color rgb="FFFFEB84"/>
        <color rgb="FFF8696B"/>
      </colorScale>
    </cfRule>
  </conditionalFormatting>
  <conditionalFormatting sqref="N110 K110">
    <cfRule type="colorScale" priority="27">
      <colorScale>
        <cfvo type="min"/>
        <cfvo type="percentile" val="50"/>
        <cfvo type="max"/>
        <color rgb="FF63BE7B"/>
        <color rgb="FFFFEB84"/>
        <color rgb="FFF8696B"/>
      </colorScale>
    </cfRule>
  </conditionalFormatting>
  <conditionalFormatting sqref="K112:K119 N112:N119 O112:O115">
    <cfRule type="colorScale" priority="20">
      <colorScale>
        <cfvo type="min"/>
        <cfvo type="percentile" val="50"/>
        <cfvo type="max"/>
        <color rgb="FF63BE7B"/>
        <color rgb="FFFFEB84"/>
        <color rgb="FFF8696B"/>
      </colorScale>
    </cfRule>
  </conditionalFormatting>
  <conditionalFormatting sqref="K62:N62 P62:Q62 K64:Q64">
    <cfRule type="containsText" dxfId="30" priority="30" operator="containsText" text="OVERCAP">
      <formula>NOT(ISERROR(SEARCH("OVERCAP",K62)))</formula>
    </cfRule>
  </conditionalFormatting>
  <conditionalFormatting sqref="K83:Q90">
    <cfRule type="cellIs" dxfId="29" priority="3" operator="greaterThan">
      <formula>1</formula>
    </cfRule>
  </conditionalFormatting>
  <conditionalFormatting sqref="K100:Q107">
    <cfRule type="colorScale" priority="4">
      <colorScale>
        <cfvo type="min"/>
        <cfvo type="percentile" val="50"/>
        <cfvo type="max"/>
        <color rgb="FF63BE7B"/>
        <color rgb="FFFFEB84"/>
        <color rgb="FFF8696B"/>
      </colorScale>
    </cfRule>
  </conditionalFormatting>
  <conditionalFormatting sqref="K17:V17">
    <cfRule type="colorScale" priority="26">
      <colorScale>
        <cfvo type="min"/>
        <cfvo type="percentile" val="50"/>
        <cfvo type="max"/>
        <color rgb="FF63BE7B"/>
        <color rgb="FFFFEB84"/>
        <color rgb="FFF8696B"/>
      </colorScale>
    </cfRule>
  </conditionalFormatting>
  <conditionalFormatting sqref="K19:V19">
    <cfRule type="cellIs" dxfId="28" priority="24" operator="equal">
      <formula>"F"</formula>
    </cfRule>
    <cfRule type="colorScale" priority="25">
      <colorScale>
        <cfvo type="min"/>
        <cfvo type="percentile" val="50"/>
        <cfvo type="max"/>
        <color rgb="FF63BE7B"/>
        <color rgb="FFFFEB84"/>
        <color rgb="FFF8696B"/>
      </colorScale>
    </cfRule>
  </conditionalFormatting>
  <conditionalFormatting sqref="O24:V24">
    <cfRule type="colorScale" priority="21">
      <colorScale>
        <cfvo type="min"/>
        <cfvo type="percentile" val="50"/>
        <cfvo type="max"/>
        <color rgb="FF63BE7B"/>
        <color rgb="FFFFEB84"/>
        <color rgb="FFF8696B"/>
      </colorScale>
    </cfRule>
  </conditionalFormatting>
  <conditionalFormatting sqref="Q65">
    <cfRule type="cellIs" dxfId="27" priority="22" operator="equal">
      <formula>0</formula>
    </cfRule>
    <cfRule type="cellIs" dxfId="26" priority="31" operator="greaterThan">
      <formula>$E$12</formula>
    </cfRule>
  </conditionalFormatting>
  <conditionalFormatting sqref="Q100:Q101">
    <cfRule type="colorScale" priority="1">
      <colorScale>
        <cfvo type="min"/>
        <cfvo type="percentile" val="50"/>
        <cfvo type="max"/>
        <color rgb="FF63BE7B"/>
        <color rgb="FFFFEB84"/>
        <color rgb="FFF8696B"/>
      </colorScale>
    </cfRule>
  </conditionalFormatting>
  <conditionalFormatting sqref="Q100:Q102 Q106:Q107">
    <cfRule type="colorScale" priority="33">
      <colorScale>
        <cfvo type="min"/>
        <cfvo type="percentile" val="50"/>
        <cfvo type="max"/>
        <color rgb="FF63BE7B"/>
        <color rgb="FFFFEB84"/>
        <color rgb="FFF8696B"/>
      </colorScale>
    </cfRule>
  </conditionalFormatting>
  <conditionalFormatting sqref="Q103">
    <cfRule type="colorScale" priority="10">
      <colorScale>
        <cfvo type="min"/>
        <cfvo type="percentile" val="50"/>
        <cfvo type="max"/>
        <color rgb="FF63BE7B"/>
        <color rgb="FFFFEB84"/>
        <color rgb="FFF8696B"/>
      </colorScale>
    </cfRule>
    <cfRule type="colorScale" priority="11">
      <colorScale>
        <cfvo type="min"/>
        <cfvo type="percentile" val="50"/>
        <cfvo type="max"/>
        <color rgb="FF63BE7B"/>
        <color rgb="FFFFEB84"/>
        <color rgb="FFF8696B"/>
      </colorScale>
    </cfRule>
  </conditionalFormatting>
  <conditionalFormatting sqref="Q104">
    <cfRule type="colorScale" priority="16">
      <colorScale>
        <cfvo type="min"/>
        <cfvo type="percentile" val="50"/>
        <cfvo type="max"/>
        <color rgb="FF63BE7B"/>
        <color rgb="FFFFEB84"/>
        <color rgb="FFF8696B"/>
      </colorScale>
    </cfRule>
  </conditionalFormatting>
  <conditionalFormatting sqref="Q104:Q107 Q100:Q102">
    <cfRule type="colorScale" priority="34">
      <colorScale>
        <cfvo type="min"/>
        <cfvo type="percentile" val="50"/>
        <cfvo type="max"/>
        <color rgb="FF63BE7B"/>
        <color rgb="FFFFEB84"/>
        <color rgb="FFF8696B"/>
      </colorScale>
    </cfRule>
  </conditionalFormatting>
  <conditionalFormatting sqref="Q105">
    <cfRule type="colorScale" priority="15">
      <colorScale>
        <cfvo type="min"/>
        <cfvo type="percentile" val="50"/>
        <cfvo type="max"/>
        <color rgb="FF63BE7B"/>
        <color rgb="FFFFEB84"/>
        <color rgb="FFF8696B"/>
      </colorScale>
    </cfRule>
  </conditionalFormatting>
  <conditionalFormatting sqref="Q106:Q107">
    <cfRule type="colorScale" priority="2">
      <colorScale>
        <cfvo type="min"/>
        <cfvo type="percentile" val="50"/>
        <cfvo type="max"/>
        <color rgb="FF63BE7B"/>
        <color rgb="FFFFEB84"/>
        <color rgb="FFF8696B"/>
      </colorScale>
    </cfRule>
  </conditionalFormatting>
  <conditionalFormatting sqref="Q112:Q114">
    <cfRule type="colorScale" priority="18">
      <colorScale>
        <cfvo type="min"/>
        <cfvo type="percentile" val="50"/>
        <cfvo type="max"/>
        <color rgb="FF63BE7B"/>
        <color rgb="FFFFEB84"/>
        <color rgb="FFF8696B"/>
      </colorScale>
    </cfRule>
  </conditionalFormatting>
  <conditionalFormatting sqref="Q112:Q119">
    <cfRule type="colorScale" priority="12">
      <colorScale>
        <cfvo type="min"/>
        <cfvo type="percentile" val="50"/>
        <cfvo type="max"/>
        <color rgb="FF63BE7B"/>
        <color rgb="FFFFEB84"/>
        <color rgb="FFF8696B"/>
      </colorScale>
    </cfRule>
  </conditionalFormatting>
  <conditionalFormatting sqref="Q115">
    <cfRule type="colorScale" priority="14">
      <colorScale>
        <cfvo type="min"/>
        <cfvo type="percentile" val="50"/>
        <cfvo type="max"/>
        <color rgb="FF63BE7B"/>
        <color rgb="FFFFEB84"/>
        <color rgb="FFF8696B"/>
      </colorScale>
    </cfRule>
  </conditionalFormatting>
  <conditionalFormatting sqref="Q116">
    <cfRule type="colorScale" priority="19">
      <colorScale>
        <cfvo type="min"/>
        <cfvo type="percentile" val="50"/>
        <cfvo type="max"/>
        <color rgb="FF63BE7B"/>
        <color rgb="FFFFEB84"/>
        <color rgb="FFF8696B"/>
      </colorScale>
    </cfRule>
  </conditionalFormatting>
  <conditionalFormatting sqref="Q117:Q118">
    <cfRule type="colorScale" priority="17">
      <colorScale>
        <cfvo type="min"/>
        <cfvo type="percentile" val="50"/>
        <cfvo type="max"/>
        <color rgb="FF63BE7B"/>
        <color rgb="FFFFEB84"/>
        <color rgb="FFF8696B"/>
      </colorScale>
    </cfRule>
  </conditionalFormatting>
  <conditionalFormatting sqref="Q119">
    <cfRule type="colorScale" priority="13">
      <colorScale>
        <cfvo type="min"/>
        <cfvo type="percentile" val="50"/>
        <cfvo type="max"/>
        <color rgb="FF63BE7B"/>
        <color rgb="FFFFEB84"/>
        <color rgb="FFF8696B"/>
      </colorScale>
    </cfRule>
  </conditionalFormatting>
  <conditionalFormatting sqref="S100:V101 S106:V107 T102:V102 S103:U104 T105:V105">
    <cfRule type="colorScale" priority="6">
      <colorScale>
        <cfvo type="min"/>
        <cfvo type="percentile" val="50"/>
        <cfvo type="max"/>
        <color rgb="FF63BE7B"/>
        <color rgb="FFFFEB84"/>
        <color rgb="FFF8696B"/>
      </colorScale>
    </cfRule>
  </conditionalFormatting>
  <conditionalFormatting sqref="S100:V107">
    <cfRule type="colorScale" priority="5">
      <colorScale>
        <cfvo type="min"/>
        <cfvo type="percentile" val="50"/>
        <cfvo type="max"/>
        <color rgb="FF63BE7B"/>
        <color rgb="FFFFEB84"/>
        <color rgb="FFF8696B"/>
      </colorScale>
    </cfRule>
  </conditionalFormatting>
  <conditionalFormatting sqref="S106:V107 S100:V101 T102:V102 S103:U104 T105:V105">
    <cfRule type="colorScale" priority="7">
      <colorScale>
        <cfvo type="min"/>
        <cfvo type="percentile" val="50"/>
        <cfvo type="max"/>
        <color rgb="FF63BE7B"/>
        <color rgb="FFFFEB84"/>
        <color rgb="FFF8696B"/>
      </colorScale>
    </cfRule>
  </conditionalFormatting>
  <conditionalFormatting sqref="V21">
    <cfRule type="containsText" dxfId="25" priority="23" operator="containsText" text="YES">
      <formula>NOT(ISERROR(SEARCH("YES",V21)))</formula>
    </cfRule>
  </conditionalFormatting>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G47"/>
  <sheetViews>
    <sheetView showGridLines="0" topLeftCell="C3" zoomScale="120" zoomScaleNormal="120" workbookViewId="0">
      <selection activeCell="K18" sqref="K18"/>
    </sheetView>
  </sheetViews>
  <sheetFormatPr defaultColWidth="8.85546875" defaultRowHeight="15" x14ac:dyDescent="0.25"/>
  <cols>
    <col min="1" max="1" width="1.42578125" hidden="1" customWidth="1"/>
    <col min="2" max="2" width="1.28515625" hidden="1" customWidth="1"/>
    <col min="3" max="3" width="1.28515625" customWidth="1"/>
    <col min="4" max="4" width="22.85546875" customWidth="1"/>
    <col min="14" max="14" width="13.7109375" customWidth="1"/>
    <col min="15" max="15" width="2.85546875" customWidth="1"/>
    <col min="19" max="19" width="7.42578125" customWidth="1"/>
    <col min="20" max="20" width="4.28515625" customWidth="1"/>
    <col min="26" max="26" width="5" customWidth="1"/>
    <col min="27" max="27" width="6.140625" customWidth="1"/>
    <col min="33" max="33" width="4.85546875" customWidth="1"/>
  </cols>
  <sheetData>
    <row r="1" spans="4:33" hidden="1" x14ac:dyDescent="0.25"/>
    <row r="2" spans="4:33" hidden="1" x14ac:dyDescent="0.25"/>
    <row r="4" spans="4:33" ht="15.75" thickBot="1" x14ac:dyDescent="0.3">
      <c r="I4" s="68"/>
      <c r="P4" s="68"/>
    </row>
    <row r="5" spans="4:33" ht="24" thickBot="1" x14ac:dyDescent="0.4">
      <c r="I5" s="68"/>
      <c r="P5" s="68"/>
      <c r="T5" s="1553" t="s">
        <v>994</v>
      </c>
      <c r="U5" s="1554"/>
      <c r="V5" s="1554"/>
      <c r="W5" s="1554"/>
      <c r="X5" s="1554"/>
      <c r="Y5" s="1554"/>
      <c r="Z5" s="1554"/>
      <c r="AA5" s="1554"/>
      <c r="AB5" s="1554"/>
      <c r="AC5" s="1554"/>
      <c r="AD5" s="1555"/>
    </row>
    <row r="6" spans="4:33" ht="15.75" thickBot="1" x14ac:dyDescent="0.3">
      <c r="J6" s="68" t="s">
        <v>942</v>
      </c>
    </row>
    <row r="7" spans="4:33" ht="24" thickBot="1" x14ac:dyDescent="0.4">
      <c r="D7" s="153" t="s">
        <v>452</v>
      </c>
      <c r="E7" s="154"/>
      <c r="J7" s="68"/>
    </row>
    <row r="9" spans="4:33" x14ac:dyDescent="0.25">
      <c r="D9" s="133" t="s">
        <v>1150</v>
      </c>
      <c r="E9" s="134"/>
      <c r="F9" s="134"/>
      <c r="G9" s="134"/>
      <c r="H9" s="134"/>
      <c r="I9" s="134"/>
      <c r="J9" s="134"/>
      <c r="K9" s="134"/>
      <c r="L9" s="134"/>
      <c r="M9" s="134"/>
      <c r="N9" s="135"/>
    </row>
    <row r="10" spans="4:33" ht="15.75" x14ac:dyDescent="0.25">
      <c r="D10" s="136" t="s">
        <v>1151</v>
      </c>
      <c r="E10" s="132"/>
      <c r="F10" s="132"/>
      <c r="G10" s="132"/>
      <c r="H10" s="132"/>
      <c r="I10" s="132"/>
      <c r="J10" s="132"/>
      <c r="K10" s="132"/>
      <c r="L10" s="132"/>
      <c r="M10" s="132"/>
      <c r="N10" s="137"/>
      <c r="AB10" s="120" t="s">
        <v>996</v>
      </c>
      <c r="AC10" s="121"/>
      <c r="AD10" s="121"/>
      <c r="AE10" s="121"/>
      <c r="AF10" s="121"/>
      <c r="AG10" s="121"/>
    </row>
    <row r="11" spans="4:33" ht="15.75" x14ac:dyDescent="0.25">
      <c r="D11" s="136" t="s">
        <v>1152</v>
      </c>
      <c r="E11" s="132"/>
      <c r="F11" s="132"/>
      <c r="G11" s="132"/>
      <c r="H11" s="132"/>
      <c r="I11" s="132"/>
      <c r="J11" s="132"/>
      <c r="K11" s="132"/>
      <c r="L11" s="132"/>
      <c r="M11" s="132"/>
      <c r="N11" s="137"/>
      <c r="AB11" s="120" t="s">
        <v>1147</v>
      </c>
      <c r="AC11" s="120"/>
      <c r="AD11" s="120"/>
      <c r="AE11" s="120"/>
      <c r="AF11" s="120"/>
      <c r="AG11" s="121"/>
    </row>
    <row r="12" spans="4:33" ht="15.75" x14ac:dyDescent="0.25">
      <c r="D12" s="147" t="s">
        <v>1153</v>
      </c>
      <c r="E12" s="132"/>
      <c r="F12" s="132"/>
      <c r="G12" s="132"/>
      <c r="H12" s="132"/>
      <c r="I12" s="132"/>
      <c r="J12" s="132"/>
      <c r="K12" s="132"/>
      <c r="L12" s="132"/>
      <c r="M12" s="132"/>
      <c r="N12" s="137"/>
      <c r="AB12" s="120" t="s">
        <v>997</v>
      </c>
      <c r="AC12" s="120"/>
      <c r="AD12" s="120"/>
      <c r="AE12" s="120"/>
      <c r="AF12" s="120"/>
      <c r="AG12" s="121"/>
    </row>
    <row r="13" spans="4:33" ht="15.75" x14ac:dyDescent="0.25">
      <c r="D13" s="136" t="s">
        <v>992</v>
      </c>
      <c r="E13" s="132"/>
      <c r="F13" s="132"/>
      <c r="G13" s="132"/>
      <c r="H13" s="132"/>
      <c r="I13" s="132"/>
      <c r="J13" s="132"/>
      <c r="K13" s="132"/>
      <c r="L13" s="132"/>
      <c r="M13" s="132"/>
      <c r="N13" s="137"/>
    </row>
    <row r="14" spans="4:33" ht="15.75" x14ac:dyDescent="0.25">
      <c r="D14" s="136" t="s">
        <v>993</v>
      </c>
      <c r="E14" s="132"/>
      <c r="F14" s="132"/>
      <c r="G14" s="132"/>
      <c r="H14" s="132"/>
      <c r="I14" s="132"/>
      <c r="J14" s="132"/>
      <c r="K14" s="132"/>
      <c r="L14" s="132"/>
      <c r="M14" s="132"/>
      <c r="N14" s="137"/>
      <c r="AB14" s="122" t="s">
        <v>1148</v>
      </c>
      <c r="AC14" s="122"/>
      <c r="AD14" s="122"/>
      <c r="AE14" s="122"/>
      <c r="AF14" s="122"/>
      <c r="AG14" s="123"/>
    </row>
    <row r="15" spans="4:33" ht="15.75" x14ac:dyDescent="0.25">
      <c r="D15" s="136" t="s">
        <v>1154</v>
      </c>
      <c r="E15" s="132"/>
      <c r="F15" s="132"/>
      <c r="G15" s="132"/>
      <c r="H15" s="132"/>
      <c r="I15" s="132"/>
      <c r="J15" s="132"/>
      <c r="K15" s="132"/>
      <c r="L15" s="132"/>
      <c r="M15" s="132"/>
      <c r="N15" s="137"/>
      <c r="AB15" s="122" t="s">
        <v>998</v>
      </c>
      <c r="AC15" s="122"/>
      <c r="AD15" s="122"/>
      <c r="AE15" s="122"/>
      <c r="AF15" s="122"/>
      <c r="AG15" s="123"/>
    </row>
    <row r="16" spans="4:33" ht="15.75" x14ac:dyDescent="0.25">
      <c r="D16" s="136" t="s">
        <v>1155</v>
      </c>
      <c r="E16" s="132"/>
      <c r="F16" s="132"/>
      <c r="G16" s="132"/>
      <c r="H16" s="132"/>
      <c r="I16" s="132"/>
      <c r="J16" s="132"/>
      <c r="K16" s="132"/>
      <c r="L16" s="132"/>
      <c r="M16" s="132"/>
      <c r="N16" s="137"/>
      <c r="AB16" s="122" t="s">
        <v>1156</v>
      </c>
      <c r="AC16" s="122"/>
      <c r="AD16" s="122"/>
      <c r="AE16" s="122"/>
      <c r="AF16" s="122"/>
      <c r="AG16" s="123"/>
    </row>
    <row r="17" spans="4:33" x14ac:dyDescent="0.25">
      <c r="D17" s="138" t="s">
        <v>1149</v>
      </c>
      <c r="E17" s="139"/>
      <c r="F17" s="139"/>
      <c r="G17" s="139"/>
      <c r="H17" s="139"/>
      <c r="I17" s="139"/>
      <c r="J17" s="139"/>
      <c r="K17" s="139"/>
      <c r="L17" s="139"/>
      <c r="M17" s="139"/>
      <c r="N17" s="140"/>
    </row>
    <row r="18" spans="4:33" ht="15.75" x14ac:dyDescent="0.25">
      <c r="AB18" s="122" t="s">
        <v>1157</v>
      </c>
      <c r="AC18" s="122"/>
      <c r="AD18" s="122"/>
      <c r="AE18" s="122"/>
      <c r="AF18" s="122"/>
      <c r="AG18" s="122"/>
    </row>
    <row r="19" spans="4:33" ht="15.75" x14ac:dyDescent="0.25">
      <c r="AB19" s="122" t="s">
        <v>1158</v>
      </c>
      <c r="AC19" s="122"/>
      <c r="AD19" s="122"/>
      <c r="AE19" s="122"/>
      <c r="AF19" s="122"/>
      <c r="AG19" s="122"/>
    </row>
    <row r="20" spans="4:33" ht="15.75" x14ac:dyDescent="0.25">
      <c r="AB20" s="124" t="s">
        <v>1159</v>
      </c>
      <c r="AC20" s="122"/>
      <c r="AD20" s="122"/>
      <c r="AE20" s="122"/>
      <c r="AF20" s="122"/>
      <c r="AG20" s="122"/>
    </row>
    <row r="21" spans="4:33" ht="18.75" x14ac:dyDescent="0.3">
      <c r="P21" s="1551" t="s">
        <v>1146</v>
      </c>
      <c r="Q21" s="1551"/>
      <c r="R21" s="1551"/>
      <c r="S21" s="1551"/>
    </row>
    <row r="22" spans="4:33" ht="18.75" x14ac:dyDescent="0.3">
      <c r="P22" s="1551" t="s">
        <v>995</v>
      </c>
      <c r="Q22" s="1551"/>
      <c r="R22" s="1551"/>
      <c r="S22" s="1551"/>
      <c r="AB22" s="120" t="s">
        <v>1160</v>
      </c>
      <c r="AC22" s="120"/>
      <c r="AD22" s="120"/>
      <c r="AE22" s="120"/>
      <c r="AF22" s="120"/>
      <c r="AG22" s="120"/>
    </row>
    <row r="23" spans="4:33" ht="15.75" x14ac:dyDescent="0.25">
      <c r="P23" s="1552"/>
      <c r="Q23" s="1552"/>
      <c r="R23" s="1552"/>
      <c r="AB23" s="120" t="s">
        <v>1161</v>
      </c>
      <c r="AC23" s="120"/>
      <c r="AD23" s="120"/>
      <c r="AE23" s="120"/>
      <c r="AF23" s="120"/>
      <c r="AG23" s="120"/>
    </row>
    <row r="24" spans="4:33" ht="15.75" x14ac:dyDescent="0.25">
      <c r="AB24" s="120" t="s">
        <v>999</v>
      </c>
      <c r="AC24" s="120"/>
      <c r="AD24" s="120"/>
      <c r="AE24" s="120"/>
      <c r="AF24" s="120"/>
      <c r="AG24" s="120"/>
    </row>
    <row r="26" spans="4:33" ht="15.75" customHeight="1" x14ac:dyDescent="0.25">
      <c r="J26" s="126"/>
      <c r="AB26" s="114"/>
      <c r="AC26" s="114"/>
      <c r="AD26" s="114"/>
      <c r="AE26" s="114"/>
      <c r="AF26" s="114"/>
      <c r="AG26" s="114"/>
    </row>
    <row r="27" spans="4:33" ht="15.75" customHeight="1" x14ac:dyDescent="0.25">
      <c r="J27" s="126"/>
    </row>
    <row r="28" spans="4:33" ht="15" customHeight="1" x14ac:dyDescent="0.25">
      <c r="J28" s="126"/>
    </row>
    <row r="46" spans="10:10" ht="15.75" x14ac:dyDescent="0.25">
      <c r="J46" s="119"/>
    </row>
    <row r="47" spans="10:10" ht="15.75" x14ac:dyDescent="0.25">
      <c r="J47" s="119"/>
    </row>
  </sheetData>
  <sheetProtection algorithmName="SHA-512" hashValue="EyPAnUcQk2MFeFUR7LIqavgSw42Kfw0sMDaqx7VyVJVqJsOryhnTDEexxUQ27KP6YvMbL7VuqADnYoBZUCMZ/Q==" saltValue="gkhSNP7qTKheaZd2mpWeHA==" spinCount="100000" sheet="1" objects="1" scenarios="1"/>
  <mergeCells count="4">
    <mergeCell ref="P21:S21"/>
    <mergeCell ref="P23:R23"/>
    <mergeCell ref="P22:S22"/>
    <mergeCell ref="T5:AD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B1:AD107"/>
  <sheetViews>
    <sheetView topLeftCell="A2" workbookViewId="0">
      <selection activeCell="J25" sqref="J25"/>
    </sheetView>
  </sheetViews>
  <sheetFormatPr defaultColWidth="8.85546875" defaultRowHeight="15" x14ac:dyDescent="0.25"/>
  <cols>
    <col min="1" max="1" width="0.7109375" customWidth="1"/>
    <col min="2" max="2" width="1.7109375" customWidth="1"/>
    <col min="4" max="4" width="47.42578125" customWidth="1"/>
    <col min="5" max="5" width="12.28515625" customWidth="1"/>
    <col min="6" max="6" width="8" customWidth="1"/>
    <col min="7" max="7" width="6.7109375" customWidth="1"/>
    <col min="8" max="8" width="10.85546875" customWidth="1"/>
    <col min="9" max="9" width="12.28515625" customWidth="1"/>
    <col min="10" max="10" width="41.42578125" customWidth="1"/>
    <col min="11" max="11" width="17.85546875" customWidth="1"/>
    <col min="13" max="13" width="10.28515625" customWidth="1"/>
    <col min="14" max="14" width="10.7109375" customWidth="1"/>
    <col min="15" max="15" width="11.28515625" customWidth="1"/>
    <col min="16" max="16" width="12.140625" customWidth="1"/>
    <col min="17" max="17" width="11.28515625" customWidth="1"/>
    <col min="18" max="18" width="8.28515625" customWidth="1"/>
    <col min="19" max="19" width="7.42578125" customWidth="1"/>
    <col min="20" max="20" width="10.140625" customWidth="1"/>
    <col min="21" max="21" width="9.710937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703" t="s">
        <v>232</v>
      </c>
      <c r="D3" s="1704"/>
      <c r="E3" s="1705"/>
      <c r="J3" s="1703" t="s">
        <v>1075</v>
      </c>
      <c r="K3" s="1704"/>
      <c r="L3" s="1704"/>
      <c r="M3" s="1704"/>
      <c r="N3" s="1704"/>
      <c r="O3" s="1704"/>
      <c r="P3" s="1704"/>
      <c r="Q3" s="1704"/>
      <c r="R3" s="1704"/>
      <c r="S3" s="1704"/>
      <c r="T3" s="1704"/>
      <c r="U3" s="1704"/>
      <c r="V3" s="1705"/>
    </row>
    <row r="4" spans="3:25" ht="5.25" customHeight="1" thickBot="1" x14ac:dyDescent="0.3"/>
    <row r="5" spans="3:25" ht="20.25" customHeight="1" thickBot="1" x14ac:dyDescent="0.3">
      <c r="C5" s="461" t="s">
        <v>1043</v>
      </c>
      <c r="D5" s="484"/>
      <c r="E5" s="1632">
        <f>'GLOBAL INPUTS'!F55</f>
        <v>0</v>
      </c>
      <c r="F5" s="1633"/>
      <c r="G5" s="1633"/>
      <c r="H5" s="1633"/>
      <c r="I5" s="1634"/>
    </row>
    <row r="6" spans="3:25" ht="15.75" x14ac:dyDescent="0.25">
      <c r="C6" s="17" t="s">
        <v>1280</v>
      </c>
      <c r="D6" s="484"/>
      <c r="E6" s="891">
        <f>'GLOBAL INPUTS'!F56</f>
        <v>0</v>
      </c>
      <c r="F6" s="483"/>
      <c r="G6" s="1729"/>
      <c r="H6" s="1729"/>
      <c r="I6" s="1729"/>
      <c r="J6" s="566" t="s">
        <v>6</v>
      </c>
      <c r="K6" s="567">
        <v>2</v>
      </c>
      <c r="L6" s="567">
        <v>2</v>
      </c>
      <c r="M6" s="568">
        <v>2</v>
      </c>
      <c r="N6" s="569">
        <v>4</v>
      </c>
      <c r="O6" s="567">
        <v>4</v>
      </c>
      <c r="P6" s="568">
        <v>4</v>
      </c>
      <c r="Q6" s="569">
        <v>6</v>
      </c>
      <c r="R6" s="567">
        <v>6</v>
      </c>
      <c r="S6" s="568">
        <v>6</v>
      </c>
      <c r="T6" s="569">
        <v>8</v>
      </c>
      <c r="U6" s="567">
        <v>8</v>
      </c>
      <c r="V6" s="568">
        <v>8</v>
      </c>
      <c r="X6" s="1767"/>
      <c r="Y6" s="1767"/>
    </row>
    <row r="7" spans="3:25" ht="15.75" x14ac:dyDescent="0.25">
      <c r="C7" s="17" t="s">
        <v>1281</v>
      </c>
      <c r="E7" s="571">
        <f>'GLOBAL INPUTS'!F57</f>
        <v>0</v>
      </c>
      <c r="F7" s="13" t="s">
        <v>1035</v>
      </c>
      <c r="G7" s="1648"/>
      <c r="H7" s="1648"/>
      <c r="J7" s="573" t="s">
        <v>7</v>
      </c>
      <c r="K7" s="32">
        <v>4</v>
      </c>
      <c r="L7" s="32">
        <v>6</v>
      </c>
      <c r="M7" s="574">
        <v>8</v>
      </c>
      <c r="N7" s="575">
        <v>6</v>
      </c>
      <c r="O7" s="32">
        <v>8</v>
      </c>
      <c r="P7" s="574">
        <v>2</v>
      </c>
      <c r="Q7" s="575">
        <v>8</v>
      </c>
      <c r="R7" s="32">
        <v>2</v>
      </c>
      <c r="S7" s="574">
        <v>4</v>
      </c>
      <c r="T7" s="575">
        <v>2</v>
      </c>
      <c r="U7" s="32">
        <v>4</v>
      </c>
      <c r="V7" s="574">
        <v>6</v>
      </c>
      <c r="X7" s="1768"/>
      <c r="Y7" s="1768"/>
    </row>
    <row r="8" spans="3:25" ht="16.5" thickBot="1" x14ac:dyDescent="0.3">
      <c r="C8" s="17" t="s">
        <v>470</v>
      </c>
      <c r="E8" s="571">
        <f>'GLOBAL INPUTS'!F58</f>
        <v>0</v>
      </c>
      <c r="F8" s="742"/>
      <c r="J8" s="577" t="s">
        <v>8</v>
      </c>
      <c r="K8" s="18" t="s">
        <v>9</v>
      </c>
      <c r="L8" s="18" t="s">
        <v>10</v>
      </c>
      <c r="M8" s="578" t="s">
        <v>11</v>
      </c>
      <c r="N8" s="579" t="s">
        <v>9</v>
      </c>
      <c r="O8" s="18" t="s">
        <v>10</v>
      </c>
      <c r="P8" s="578" t="s">
        <v>11</v>
      </c>
      <c r="Q8" s="579" t="s">
        <v>9</v>
      </c>
      <c r="R8" s="18" t="s">
        <v>10</v>
      </c>
      <c r="S8" s="578" t="s">
        <v>11</v>
      </c>
      <c r="T8" s="579" t="s">
        <v>9</v>
      </c>
      <c r="U8" s="18" t="s">
        <v>10</v>
      </c>
      <c r="V8" s="578" t="s">
        <v>11</v>
      </c>
      <c r="X8" s="1"/>
      <c r="Y8" s="7"/>
    </row>
    <row r="9" spans="3:25" ht="16.5" thickBot="1" x14ac:dyDescent="0.3">
      <c r="C9" s="17" t="s">
        <v>1002</v>
      </c>
      <c r="E9" s="571">
        <f>'GLOBAL INPUTS'!F59</f>
        <v>0</v>
      </c>
      <c r="F9" s="742" t="s">
        <v>2</v>
      </c>
      <c r="J9" s="587" t="s">
        <v>41</v>
      </c>
      <c r="K9" s="743"/>
      <c r="L9" s="744">
        <f>E6</f>
        <v>0</v>
      </c>
      <c r="M9" s="745"/>
      <c r="N9" s="746"/>
      <c r="O9" s="744" t="str">
        <f>IF($E$6="SB","WB",IF($E$6="NB","EB",IF($E$6="EB","SB","NB")))</f>
        <v>NB</v>
      </c>
      <c r="P9" s="745"/>
      <c r="Q9" s="746"/>
      <c r="R9" s="744" t="str">
        <f>IF($E$6="SB","NB",IF($E$6="NB","SB",IF($E$6="EB","WB","EB")))</f>
        <v>EB</v>
      </c>
      <c r="S9" s="745"/>
      <c r="T9" s="746"/>
      <c r="U9" s="744" t="str">
        <f>IF(O9="SB","NB",IF(O9="NB","SB",IF(O9="EB","WB","EB")))</f>
        <v>SB</v>
      </c>
      <c r="V9" s="747"/>
      <c r="X9" s="1"/>
      <c r="Y9" s="7"/>
    </row>
    <row r="10" spans="3:25" ht="16.5" thickBot="1" x14ac:dyDescent="0.3">
      <c r="C10" s="17" t="s">
        <v>1315</v>
      </c>
      <c r="E10" s="571">
        <f>'GLOBAL INPUTS'!F60</f>
        <v>0</v>
      </c>
      <c r="F10" s="13" t="s">
        <v>3</v>
      </c>
      <c r="J10" s="748" t="s">
        <v>1090</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X10" s="1"/>
      <c r="Y10" s="7"/>
    </row>
    <row r="11" spans="3:25" ht="16.5" thickBot="1" x14ac:dyDescent="0.3">
      <c r="C11" s="591" t="s">
        <v>1316</v>
      </c>
      <c r="D11" s="18"/>
      <c r="E11" s="571">
        <f>'GLOBAL INPUTS'!F60</f>
        <v>0</v>
      </c>
      <c r="F11" s="742" t="s">
        <v>3</v>
      </c>
      <c r="J11" s="587" t="s">
        <v>91</v>
      </c>
      <c r="K11" s="749">
        <f t="shared" ref="K11:V11" si="0">K10*$E$17</f>
        <v>0</v>
      </c>
      <c r="L11" s="1345">
        <f t="shared" si="0"/>
        <v>0</v>
      </c>
      <c r="M11" s="1345">
        <f t="shared" si="0"/>
        <v>0</v>
      </c>
      <c r="N11" s="1345">
        <f t="shared" si="0"/>
        <v>0</v>
      </c>
      <c r="O11" s="1345">
        <f t="shared" si="0"/>
        <v>0</v>
      </c>
      <c r="P11" s="1345">
        <f t="shared" si="0"/>
        <v>0</v>
      </c>
      <c r="Q11" s="1345">
        <f t="shared" si="0"/>
        <v>0</v>
      </c>
      <c r="R11" s="1345">
        <f t="shared" si="0"/>
        <v>0</v>
      </c>
      <c r="S11" s="1345">
        <f t="shared" si="0"/>
        <v>0</v>
      </c>
      <c r="T11" s="1345">
        <f t="shared" si="0"/>
        <v>0</v>
      </c>
      <c r="U11" s="1345">
        <f t="shared" si="0"/>
        <v>0</v>
      </c>
      <c r="V11" s="1346">
        <f t="shared" si="0"/>
        <v>0</v>
      </c>
      <c r="X11" s="1"/>
      <c r="Y11" s="7"/>
    </row>
    <row r="12" spans="3:25" ht="15.75" x14ac:dyDescent="0.25">
      <c r="C12" s="17" t="s">
        <v>1049</v>
      </c>
      <c r="E12" s="571">
        <f>'GLOBAL INPUTS'!F63</f>
        <v>0</v>
      </c>
      <c r="F12" s="742" t="s">
        <v>708</v>
      </c>
      <c r="J12" s="750" t="s">
        <v>31</v>
      </c>
      <c r="K12" s="329" t="e">
        <f t="shared" ref="K12:V12" si="1">ROUND(K11/$E$8,0)</f>
        <v>#DIV/0!</v>
      </c>
      <c r="L12" s="595" t="e">
        <f t="shared" si="1"/>
        <v>#DIV/0!</v>
      </c>
      <c r="M12" s="595" t="e">
        <f t="shared" si="1"/>
        <v>#DIV/0!</v>
      </c>
      <c r="N12" s="595" t="e">
        <f t="shared" si="1"/>
        <v>#DIV/0!</v>
      </c>
      <c r="O12" s="595" t="e">
        <f t="shared" si="1"/>
        <v>#DIV/0!</v>
      </c>
      <c r="P12" s="595" t="e">
        <f t="shared" si="1"/>
        <v>#DIV/0!</v>
      </c>
      <c r="Q12" s="595" t="e">
        <f t="shared" si="1"/>
        <v>#DIV/0!</v>
      </c>
      <c r="R12" s="595" t="e">
        <f t="shared" si="1"/>
        <v>#DIV/0!</v>
      </c>
      <c r="S12" s="595" t="e">
        <f t="shared" si="1"/>
        <v>#DIV/0!</v>
      </c>
      <c r="T12" s="595" t="e">
        <f t="shared" si="1"/>
        <v>#DIV/0!</v>
      </c>
      <c r="U12" s="595" t="e">
        <f t="shared" si="1"/>
        <v>#DIV/0!</v>
      </c>
      <c r="V12" s="595" t="e">
        <f t="shared" si="1"/>
        <v>#DIV/0!</v>
      </c>
      <c r="X12" s="1"/>
      <c r="Y12" s="7"/>
    </row>
    <row r="13" spans="3:25" ht="16.5" thickBot="1" x14ac:dyDescent="0.3">
      <c r="C13" s="17" t="s">
        <v>1050</v>
      </c>
      <c r="E13" s="571">
        <f>'GLOBAL INPUTS'!F64</f>
        <v>0</v>
      </c>
      <c r="F13" s="742" t="s">
        <v>708</v>
      </c>
      <c r="G13" s="1681"/>
      <c r="H13" s="1681"/>
      <c r="J13" s="751" t="s">
        <v>57</v>
      </c>
      <c r="K13" s="752" t="e">
        <f t="shared" ref="K13:V13" si="2">ROUND(K12*(1+$E$9/100),0)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753" t="e">
        <f t="shared" si="2"/>
        <v>#DIV/0!</v>
      </c>
      <c r="X13" s="1"/>
      <c r="Y13" s="7"/>
    </row>
    <row r="14" spans="3:25" ht="16.5" thickBot="1" x14ac:dyDescent="0.3">
      <c r="C14" s="17" t="s">
        <v>61</v>
      </c>
      <c r="E14" s="571">
        <f>'GLOBAL INPUTS'!F65</f>
        <v>0</v>
      </c>
      <c r="F14" s="742" t="s">
        <v>1006</v>
      </c>
      <c r="G14" s="14"/>
      <c r="J14" s="754" t="s">
        <v>1065</v>
      </c>
      <c r="K14" s="755" t="e">
        <f>Q93+O89</f>
        <v>#DIV/0!</v>
      </c>
      <c r="L14" s="755" t="e">
        <f>N87</f>
        <v>#N/A</v>
      </c>
      <c r="M14" s="756" t="e">
        <f>Q92</f>
        <v>#DIV/0!</v>
      </c>
      <c r="N14" s="757" t="e">
        <f>N91</f>
        <v>#DIV/0!</v>
      </c>
      <c r="O14" s="755" t="e">
        <f>N89</f>
        <v>#DIV/0!</v>
      </c>
      <c r="P14" s="756">
        <f>N90</f>
        <v>0</v>
      </c>
      <c r="Q14" s="757" t="e">
        <f>K93+N89</f>
        <v>#DIV/0!</v>
      </c>
      <c r="R14" s="755" t="e">
        <f>O87</f>
        <v>#N/A</v>
      </c>
      <c r="S14" s="756" t="e">
        <f>0.5*O88+0.5*K92</f>
        <v>#DIV/0!</v>
      </c>
      <c r="T14" s="757" t="e">
        <f>O91</f>
        <v>#DIV/0!</v>
      </c>
      <c r="U14" s="755" t="e">
        <f>O89</f>
        <v>#DIV/0!</v>
      </c>
      <c r="V14" s="756">
        <f>O90</f>
        <v>0</v>
      </c>
      <c r="X14" s="1"/>
      <c r="Y14" s="1"/>
    </row>
    <row r="15" spans="3:25" ht="15.75" x14ac:dyDescent="0.25">
      <c r="C15" s="17" t="s">
        <v>1074</v>
      </c>
      <c r="E15" s="571">
        <f>'GLOBAL INPUTS'!F66</f>
        <v>0</v>
      </c>
      <c r="F15" s="742"/>
      <c r="J15" s="754" t="s">
        <v>1064</v>
      </c>
      <c r="K15" s="322" t="e">
        <f>(E35+E10)/(1.47*E7)</f>
        <v>#DIV/0!</v>
      </c>
      <c r="L15" s="322"/>
      <c r="M15" s="604"/>
      <c r="N15" s="322"/>
      <c r="O15" s="322"/>
      <c r="P15" s="604"/>
      <c r="Q15" s="322" t="e">
        <f>K15</f>
        <v>#DIV/0!</v>
      </c>
      <c r="R15" s="322"/>
      <c r="S15" s="604"/>
      <c r="T15" s="322"/>
      <c r="U15" s="322"/>
      <c r="V15" s="604"/>
      <c r="X15" s="1"/>
      <c r="Y15" s="1"/>
    </row>
    <row r="16" spans="3:25" ht="15.75" x14ac:dyDescent="0.25">
      <c r="C16" s="17" t="str">
        <f>'GLOBAL INPUTS'!D67</f>
        <v xml:space="preserve">Coordination arrival type on major road (1=poor; 6=outstanding) </v>
      </c>
      <c r="E16" s="1321">
        <f>'GLOBAL INPUTS'!F67</f>
        <v>0</v>
      </c>
      <c r="F16" s="13"/>
      <c r="J16" s="754" t="s">
        <v>1063</v>
      </c>
      <c r="K16" s="760" t="e">
        <f t="shared" ref="K16:V16" si="3">K14+K15</f>
        <v>#DIV/0!</v>
      </c>
      <c r="L16" s="760" t="e">
        <f t="shared" si="3"/>
        <v>#N/A</v>
      </c>
      <c r="M16" s="761" t="e">
        <f t="shared" si="3"/>
        <v>#DIV/0!</v>
      </c>
      <c r="N16" s="762" t="e">
        <f t="shared" si="3"/>
        <v>#DIV/0!</v>
      </c>
      <c r="O16" s="760" t="e">
        <f t="shared" si="3"/>
        <v>#DIV/0!</v>
      </c>
      <c r="P16" s="761">
        <f t="shared" si="3"/>
        <v>0</v>
      </c>
      <c r="Q16" s="762" t="e">
        <f t="shared" si="3"/>
        <v>#DIV/0!</v>
      </c>
      <c r="R16" s="760" t="e">
        <f t="shared" si="3"/>
        <v>#N/A</v>
      </c>
      <c r="S16" s="761" t="e">
        <f t="shared" si="3"/>
        <v>#DIV/0!</v>
      </c>
      <c r="T16" s="762" t="e">
        <f>T14+T15</f>
        <v>#DIV/0!</v>
      </c>
      <c r="U16" s="760" t="e">
        <f t="shared" si="3"/>
        <v>#DIV/0!</v>
      </c>
      <c r="V16" s="761">
        <f t="shared" si="3"/>
        <v>0</v>
      </c>
      <c r="X16" s="1"/>
      <c r="Y16" s="2"/>
    </row>
    <row r="17" spans="3:25" ht="16.5" thickBot="1" x14ac:dyDescent="0.3">
      <c r="C17" s="19" t="s">
        <v>1051</v>
      </c>
      <c r="D17" s="248"/>
      <c r="E17" s="919">
        <f>'GLOBAL INPUTS'!F68</f>
        <v>0</v>
      </c>
      <c r="F17" s="766"/>
      <c r="J17" s="754" t="s">
        <v>1077</v>
      </c>
      <c r="K17" s="203"/>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c r="X17" s="1"/>
      <c r="Y17" s="1"/>
    </row>
    <row r="18" spans="3:25" ht="15.75" thickBot="1" x14ac:dyDescent="0.3">
      <c r="J18" s="763" t="s">
        <v>95</v>
      </c>
      <c r="K18" s="764" t="e">
        <f>VLOOKUP(K16,$G$22:$H$27,2,TRUE)</f>
        <v>#DIV/0!</v>
      </c>
      <c r="L18" s="764" t="e">
        <f t="shared" ref="L18:V18" si="4">VLOOKUP(L16,$G$22:$H$27,2,TRUE)</f>
        <v>#N/A</v>
      </c>
      <c r="M18" s="764" t="e">
        <f t="shared" si="4"/>
        <v>#DIV/0!</v>
      </c>
      <c r="N18" s="764" t="e">
        <f t="shared" si="4"/>
        <v>#DIV/0!</v>
      </c>
      <c r="O18" s="764" t="e">
        <f t="shared" si="4"/>
        <v>#DIV/0!</v>
      </c>
      <c r="P18" s="764" t="str">
        <f t="shared" si="4"/>
        <v>A</v>
      </c>
      <c r="Q18" s="764" t="e">
        <f t="shared" si="4"/>
        <v>#DIV/0!</v>
      </c>
      <c r="R18" s="764" t="e">
        <f t="shared" si="4"/>
        <v>#N/A</v>
      </c>
      <c r="S18" s="764" t="e">
        <f t="shared" si="4"/>
        <v>#DIV/0!</v>
      </c>
      <c r="T18" s="764" t="e">
        <f t="shared" si="4"/>
        <v>#DIV/0!</v>
      </c>
      <c r="U18" s="764" t="e">
        <f t="shared" si="4"/>
        <v>#DIV/0!</v>
      </c>
      <c r="V18" s="764" t="str">
        <f t="shared" si="4"/>
        <v>A</v>
      </c>
      <c r="X18" s="1"/>
      <c r="Y18" s="1"/>
    </row>
    <row r="19" spans="3:25" ht="21.75" thickBot="1" x14ac:dyDescent="0.4">
      <c r="K19" s="767" t="s">
        <v>76</v>
      </c>
      <c r="L19" s="768"/>
      <c r="M19" s="769"/>
      <c r="N19" s="1134" t="e">
        <f>SUMPRODUCT(K14:V14,K13:V13)/SUM(K13:V13)</f>
        <v>#DIV/0!</v>
      </c>
      <c r="O19" s="1135" t="e">
        <f>VLOOKUP(N19,G22:H27,2,TRUE)</f>
        <v>#DIV/0!</v>
      </c>
      <c r="P19" s="616"/>
      <c r="Q19" s="1265" t="s">
        <v>40</v>
      </c>
      <c r="R19" s="768"/>
      <c r="S19" s="768"/>
      <c r="T19" s="769"/>
      <c r="U19" s="621" t="e">
        <f>SUMPRODUCT(K13:V13,K16:V16)/SUM(K13:V13)</f>
        <v>#DIV/0!</v>
      </c>
      <c r="V19" s="622" t="e">
        <f>VLOOKUP(U19,G22:H27,2,TRUE)</f>
        <v>#DIV/0!</v>
      </c>
      <c r="X19" s="1"/>
      <c r="Y19" s="1"/>
    </row>
    <row r="20" spans="3:25" ht="19.5" thickBot="1" x14ac:dyDescent="0.35">
      <c r="G20" s="1706" t="s">
        <v>93</v>
      </c>
      <c r="H20" s="1707"/>
      <c r="K20" s="195"/>
      <c r="L20" s="195"/>
      <c r="M20" s="195"/>
      <c r="N20" s="195"/>
      <c r="P20" s="195"/>
      <c r="Q20" s="1268" t="s">
        <v>1333</v>
      </c>
      <c r="R20" s="263"/>
      <c r="S20" s="263"/>
      <c r="T20" s="263"/>
      <c r="U20" s="264"/>
      <c r="V20" s="773" t="e">
        <f>IF(MAX(N97:O100)&gt;E11,"YES","NO")</f>
        <v>#N/A</v>
      </c>
    </row>
    <row r="21" spans="3:25" ht="19.5" thickBot="1" x14ac:dyDescent="0.35">
      <c r="G21" s="1708" t="s">
        <v>94</v>
      </c>
      <c r="H21" s="1709"/>
      <c r="J21" s="15"/>
      <c r="K21" s="27"/>
      <c r="L21" s="27"/>
      <c r="M21" s="27"/>
      <c r="N21" s="27"/>
      <c r="O21" s="195"/>
      <c r="P21" s="195"/>
      <c r="Q21" s="1268" t="s">
        <v>1334</v>
      </c>
      <c r="R21" s="263"/>
      <c r="S21" s="263"/>
      <c r="T21" s="263"/>
      <c r="U21" s="264"/>
      <c r="V21" s="773" t="e">
        <f>IF(MAX(K103,K104,Q103,Q104)&gt;2*E11,"YES","NO")</f>
        <v>#DIV/0!</v>
      </c>
    </row>
    <row r="22" spans="3:25" x14ac:dyDescent="0.25">
      <c r="G22" s="911">
        <v>0</v>
      </c>
      <c r="H22" s="759" t="s">
        <v>16</v>
      </c>
      <c r="K22" s="18"/>
      <c r="L22" s="18"/>
      <c r="M22" s="18"/>
      <c r="N22" s="18"/>
      <c r="T22" s="15"/>
      <c r="U22" s="15"/>
    </row>
    <row r="23" spans="3:25" x14ac:dyDescent="0.25">
      <c r="G23" s="911">
        <v>10</v>
      </c>
      <c r="H23" s="759" t="s">
        <v>17</v>
      </c>
      <c r="K23" s="18"/>
      <c r="L23" s="18"/>
      <c r="M23" s="18"/>
      <c r="N23" s="18"/>
      <c r="O23" s="18"/>
      <c r="P23" s="18"/>
      <c r="Q23" s="18"/>
      <c r="R23" s="18"/>
      <c r="S23" s="18"/>
      <c r="T23" s="18"/>
      <c r="U23" s="18"/>
      <c r="V23" s="18"/>
    </row>
    <row r="24" spans="3:25" ht="15.75" thickBot="1" x14ac:dyDescent="0.3">
      <c r="G24" s="911">
        <v>20</v>
      </c>
      <c r="H24" s="759" t="s">
        <v>18</v>
      </c>
      <c r="J24" s="276" t="s">
        <v>1380</v>
      </c>
      <c r="K24" s="18"/>
      <c r="L24" s="18"/>
      <c r="M24" s="18"/>
      <c r="N24" s="18"/>
    </row>
    <row r="25" spans="3:25" ht="19.5" customHeight="1" thickBot="1" x14ac:dyDescent="0.35">
      <c r="G25" s="911">
        <v>35</v>
      </c>
      <c r="H25" s="759" t="s">
        <v>19</v>
      </c>
      <c r="J25" s="15" t="s">
        <v>1236</v>
      </c>
      <c r="K25" s="18"/>
      <c r="L25" s="1703" t="s">
        <v>1076</v>
      </c>
      <c r="M25" s="1704"/>
      <c r="N25" s="1704"/>
      <c r="O25" s="1704"/>
      <c r="P25" s="1705"/>
    </row>
    <row r="26" spans="3:25" ht="21.75" thickBot="1" x14ac:dyDescent="0.4">
      <c r="G26" s="911">
        <v>55</v>
      </c>
      <c r="H26" s="759" t="s">
        <v>20</v>
      </c>
      <c r="L26" s="1769" t="s">
        <v>325</v>
      </c>
      <c r="M26" s="1770"/>
      <c r="N26" s="1770"/>
      <c r="O26" s="1770"/>
      <c r="P26" s="940">
        <f>E14*0.95</f>
        <v>0</v>
      </c>
    </row>
    <row r="27" spans="3:25" ht="15.75" thickBot="1" x14ac:dyDescent="0.3">
      <c r="G27" s="911">
        <v>80</v>
      </c>
      <c r="H27" s="759" t="s">
        <v>21</v>
      </c>
    </row>
    <row r="28" spans="3:25" ht="15.75" x14ac:dyDescent="0.25">
      <c r="J28" s="1700" t="s">
        <v>955</v>
      </c>
      <c r="K28" s="1688" t="s">
        <v>956</v>
      </c>
      <c r="L28" s="1689"/>
      <c r="M28" s="15"/>
      <c r="N28" s="1713" t="s">
        <v>100</v>
      </c>
      <c r="O28" s="1714"/>
      <c r="P28" s="15"/>
      <c r="Q28" s="1688" t="s">
        <v>957</v>
      </c>
      <c r="R28" s="1689"/>
    </row>
    <row r="29" spans="3:25" ht="15.75" x14ac:dyDescent="0.25">
      <c r="J29" s="1701"/>
      <c r="K29" s="1775"/>
      <c r="L29" s="1719"/>
      <c r="N29" s="1730"/>
      <c r="O29" s="1810"/>
      <c r="P29" s="774"/>
      <c r="Q29" s="1775"/>
      <c r="R29" s="1719"/>
    </row>
    <row r="30" spans="3:25" ht="16.5" thickBot="1" x14ac:dyDescent="0.3">
      <c r="J30" s="1702"/>
      <c r="K30" s="1364" t="s">
        <v>400</v>
      </c>
      <c r="L30" s="578"/>
      <c r="M30" s="18"/>
      <c r="N30" s="1364" t="s">
        <v>1343</v>
      </c>
      <c r="O30" s="1365" t="s">
        <v>1344</v>
      </c>
      <c r="P30" s="18"/>
      <c r="Q30" s="1364" t="s">
        <v>402</v>
      </c>
      <c r="R30" s="570"/>
    </row>
    <row r="31" spans="3:25" ht="15.75" x14ac:dyDescent="0.25">
      <c r="J31" s="560" t="s">
        <v>403</v>
      </c>
      <c r="K31" s="1366"/>
      <c r="L31" s="658"/>
      <c r="M31" s="1142" t="str">
        <f>CONCATENATE($L$9,"T")</f>
        <v>0T</v>
      </c>
      <c r="N31" s="10"/>
      <c r="O31" s="10"/>
      <c r="P31" s="777" t="str">
        <f>CONCATENATE($R$9,"T")</f>
        <v>EBT</v>
      </c>
      <c r="Q31" s="1366"/>
      <c r="R31" s="561"/>
    </row>
    <row r="32" spans="3:25" ht="15.75" x14ac:dyDescent="0.25">
      <c r="J32" s="17" t="s">
        <v>404</v>
      </c>
      <c r="K32" s="819"/>
      <c r="L32" s="18"/>
      <c r="M32" s="471" t="str">
        <f>CONCATENATE($L$9,"R")</f>
        <v>0R</v>
      </c>
      <c r="N32" s="9"/>
      <c r="O32" s="890"/>
      <c r="P32" s="276" t="str">
        <f>CONCATENATE($R$9,"R")</f>
        <v>EBR</v>
      </c>
      <c r="Q32" s="819"/>
      <c r="R32" s="570"/>
    </row>
    <row r="33" spans="2:30" ht="15.75" x14ac:dyDescent="0.25">
      <c r="J33" s="17" t="s">
        <v>1317</v>
      </c>
      <c r="K33" s="1208"/>
      <c r="L33" s="18"/>
      <c r="M33" s="471" t="str">
        <f>CONCATENATE($O$9,"T")</f>
        <v>NBT</v>
      </c>
      <c r="N33" s="9"/>
      <c r="O33" s="890"/>
      <c r="P33" s="276" t="str">
        <f>CONCATENATE($U$9,"T")</f>
        <v>SBT</v>
      </c>
      <c r="Q33" s="1208"/>
      <c r="R33" s="570"/>
    </row>
    <row r="34" spans="2:30" ht="16.5" thickBot="1" x14ac:dyDescent="0.3">
      <c r="J34" s="17" t="s">
        <v>1318</v>
      </c>
      <c r="K34" s="819"/>
      <c r="M34" s="471" t="str">
        <f>CONCATENATE($O$9,"R")</f>
        <v>NBR</v>
      </c>
      <c r="N34" s="9"/>
      <c r="O34" s="890"/>
      <c r="P34" s="276" t="str">
        <f>CONCATENATE($U$9,"R")</f>
        <v>SBR</v>
      </c>
      <c r="Q34" s="819"/>
      <c r="R34" s="570"/>
      <c r="S34" s="15"/>
    </row>
    <row r="35" spans="2:30" ht="16.5" thickBot="1" x14ac:dyDescent="0.3">
      <c r="D35" s="461" t="s">
        <v>1346</v>
      </c>
      <c r="E35" s="1148">
        <v>350</v>
      </c>
      <c r="J35" s="17" t="s">
        <v>407</v>
      </c>
      <c r="K35" s="819"/>
      <c r="M35" s="471" t="str">
        <f>CONCATENATE($O$9,"L")</f>
        <v>NBL</v>
      </c>
      <c r="N35" s="9"/>
      <c r="O35" s="890"/>
      <c r="P35" s="276" t="str">
        <f>CONCATENATE($U$9,"L")</f>
        <v>SBL</v>
      </c>
      <c r="Q35" s="819"/>
      <c r="R35" s="570"/>
    </row>
    <row r="36" spans="2:30" ht="18" customHeight="1" x14ac:dyDescent="0.25">
      <c r="C36" s="720"/>
      <c r="J36" s="17" t="s">
        <v>1319</v>
      </c>
      <c r="K36" s="9"/>
      <c r="L36" s="15" t="str">
        <f>CONCATENATE($R$9,"R")</f>
        <v>EBR</v>
      </c>
      <c r="N36" s="789"/>
      <c r="O36" s="789"/>
      <c r="Q36" s="9"/>
      <c r="R36" s="1324" t="str">
        <f>CONCATENATE($L$9,"R")</f>
        <v>0R</v>
      </c>
    </row>
    <row r="37" spans="2:30" ht="16.5" thickBot="1" x14ac:dyDescent="0.3">
      <c r="J37" s="19" t="s">
        <v>408</v>
      </c>
      <c r="K37" s="11"/>
      <c r="L37" s="1150" t="str">
        <f>CONCATENATE($R$9,"L")</f>
        <v>EBL</v>
      </c>
      <c r="M37" s="248"/>
      <c r="N37" s="792"/>
      <c r="O37" s="792"/>
      <c r="P37" s="248"/>
      <c r="Q37" s="11"/>
      <c r="R37" s="788" t="str">
        <f>CONCATENATE($L$9,"L")</f>
        <v>0L</v>
      </c>
    </row>
    <row r="38" spans="2:30" ht="19.5" thickBot="1" x14ac:dyDescent="0.35">
      <c r="B38" s="27"/>
      <c r="C38" s="195"/>
      <c r="D38" s="27"/>
      <c r="E38" s="18"/>
      <c r="F38" s="18"/>
      <c r="G38" s="18"/>
      <c r="H38" s="18"/>
      <c r="J38" s="461"/>
      <c r="K38" s="227"/>
      <c r="L38" s="1367" t="s">
        <v>409</v>
      </c>
      <c r="M38" s="1367"/>
      <c r="N38" s="1367"/>
      <c r="O38" s="1367"/>
      <c r="P38" s="227"/>
      <c r="Q38" s="227"/>
      <c r="R38" s="526"/>
    </row>
    <row r="39" spans="2:30" ht="18.75" x14ac:dyDescent="0.3">
      <c r="B39" s="27"/>
      <c r="C39" s="195"/>
      <c r="D39" s="27"/>
      <c r="E39" s="18"/>
      <c r="F39" s="18"/>
      <c r="G39" s="18"/>
      <c r="H39" s="18"/>
      <c r="J39" s="560" t="s">
        <v>410</v>
      </c>
      <c r="K39" s="731" t="e">
        <f>0.5*S13*K51</f>
        <v>#DIV/0!</v>
      </c>
      <c r="L39" s="658"/>
      <c r="M39" s="658"/>
      <c r="N39" s="887"/>
      <c r="O39" s="887"/>
      <c r="P39" s="658"/>
      <c r="Q39" s="731" t="e">
        <f>0.5*M13*Q51</f>
        <v>#DIV/0!</v>
      </c>
      <c r="R39" s="678"/>
    </row>
    <row r="40" spans="2:30" ht="18.75" x14ac:dyDescent="0.3">
      <c r="B40" s="27"/>
      <c r="C40" s="195"/>
      <c r="D40" s="27"/>
      <c r="E40" s="18"/>
      <c r="F40" s="18"/>
      <c r="G40" s="18"/>
      <c r="H40" s="158"/>
      <c r="J40" s="1153" t="s">
        <v>411</v>
      </c>
      <c r="K40" s="1154" t="e">
        <f>Q13*K51</f>
        <v>#DIV/0!</v>
      </c>
      <c r="L40" s="328"/>
      <c r="M40" s="328"/>
      <c r="N40" s="659"/>
      <c r="O40" s="1200"/>
      <c r="P40" s="328"/>
      <c r="Q40" s="1154" t="e">
        <f>K13*Q51</f>
        <v>#DIV/0!</v>
      </c>
      <c r="R40" s="1155"/>
    </row>
    <row r="41" spans="2:30" ht="18.75" x14ac:dyDescent="0.3">
      <c r="B41" s="27"/>
      <c r="C41" s="195"/>
      <c r="D41" s="27"/>
      <c r="E41" s="18"/>
      <c r="F41" s="18"/>
      <c r="G41" s="18"/>
      <c r="H41" s="158"/>
      <c r="J41" s="1156" t="s">
        <v>412</v>
      </c>
      <c r="K41" s="342" t="e">
        <f>U13+K13+0.5*S13</f>
        <v>#DIV/0!</v>
      </c>
      <c r="L41" s="1177"/>
      <c r="M41" s="1177"/>
      <c r="N41" s="1163"/>
      <c r="O41" s="1202"/>
      <c r="P41" s="1177"/>
      <c r="Q41" s="1177" t="e">
        <f>O13+Q13+0.5*M13</f>
        <v>#DIV/0!</v>
      </c>
      <c r="R41" s="1157"/>
    </row>
    <row r="42" spans="2:30" x14ac:dyDescent="0.25">
      <c r="B42" s="1158"/>
      <c r="C42" s="1159"/>
      <c r="D42" s="1160"/>
      <c r="E42" s="1161"/>
      <c r="F42" s="1161"/>
      <c r="G42" s="1161"/>
      <c r="H42" s="1161"/>
      <c r="J42" s="1153" t="s">
        <v>413</v>
      </c>
      <c r="K42" s="1154" t="e">
        <f>K41+N13+O13+P13</f>
        <v>#DIV/0!</v>
      </c>
      <c r="L42" s="328"/>
      <c r="M42" s="328"/>
      <c r="N42" s="1162"/>
      <c r="O42" s="1200"/>
      <c r="P42" s="328"/>
      <c r="Q42" s="1154" t="e">
        <f>Q41+T13+U13+V13</f>
        <v>#DIV/0!</v>
      </c>
      <c r="R42" s="1155"/>
    </row>
    <row r="43" spans="2:30" x14ac:dyDescent="0.25">
      <c r="B43" s="1158"/>
      <c r="C43" s="1159"/>
      <c r="D43" s="1160"/>
      <c r="E43" s="1161"/>
      <c r="F43" s="1161"/>
      <c r="G43" s="1161"/>
      <c r="H43" s="1161"/>
      <c r="J43" s="17" t="s">
        <v>414</v>
      </c>
      <c r="K43" s="20" t="e">
        <f>K41*EXP(-K41/3600*4.87)/(1-EXP(-K41/3600*2.53))</f>
        <v>#DIV/0!</v>
      </c>
      <c r="L43" s="18"/>
      <c r="M43" s="18"/>
      <c r="N43" s="504"/>
      <c r="O43" s="659"/>
      <c r="P43" s="18"/>
      <c r="Q43" s="20" t="e">
        <f>Q41*EXP(-Q41/3600*4.87)/(1-EXP(-Q41/3600*2.53))</f>
        <v>#DIV/0!</v>
      </c>
      <c r="R43" s="578"/>
    </row>
    <row r="44" spans="2:30" x14ac:dyDescent="0.25">
      <c r="B44" s="1158"/>
      <c r="C44" s="1368"/>
      <c r="D44" s="1369"/>
      <c r="E44" s="1370"/>
      <c r="F44" s="1161"/>
      <c r="G44" s="1161"/>
      <c r="H44" s="1161"/>
      <c r="J44" s="17" t="s">
        <v>415</v>
      </c>
      <c r="K44" s="20" t="e">
        <f>K42*EXP(-K42/3600*6.8)/(1-EXP(-K42/3600*3.8))</f>
        <v>#DIV/0!</v>
      </c>
      <c r="L44" s="18"/>
      <c r="M44" s="18"/>
      <c r="N44" s="504"/>
      <c r="O44" s="659"/>
      <c r="P44" s="18"/>
      <c r="Q44" s="20" t="e">
        <f>Q42*EXP(-Q42/3600*6.8)/(1-EXP(-Q42/3600*3.8))</f>
        <v>#DIV/0!</v>
      </c>
      <c r="R44" s="578"/>
    </row>
    <row r="45" spans="2:30" x14ac:dyDescent="0.25">
      <c r="C45" s="30"/>
      <c r="D45" s="30"/>
      <c r="E45" s="30"/>
      <c r="J45" s="1156" t="s">
        <v>416</v>
      </c>
      <c r="K45" s="1202"/>
      <c r="L45" s="1177"/>
      <c r="M45" s="1177"/>
      <c r="N45" s="342" t="e">
        <f>L13</f>
        <v>#DIV/0!</v>
      </c>
      <c r="O45" s="1177" t="e">
        <f>R13</f>
        <v>#DIV/0!</v>
      </c>
      <c r="P45" s="1177"/>
      <c r="Q45" s="1202"/>
      <c r="R45" s="1371"/>
    </row>
    <row r="46" spans="2:30" ht="18.75" x14ac:dyDescent="0.3">
      <c r="B46" s="27"/>
      <c r="C46" s="1372"/>
      <c r="D46" s="24"/>
      <c r="E46" s="29"/>
      <c r="F46" s="18"/>
      <c r="G46" s="18"/>
      <c r="H46" s="18"/>
      <c r="J46" s="1153" t="s">
        <v>417</v>
      </c>
      <c r="K46" s="1200"/>
      <c r="L46" s="328"/>
      <c r="M46" s="328"/>
      <c r="N46" s="1154" t="e">
        <f>0.5*M13*N51</f>
        <v>#DIV/0!</v>
      </c>
      <c r="O46" s="1154" t="e">
        <f>0.5*S13*N51</f>
        <v>#DIV/0!</v>
      </c>
      <c r="P46" s="328"/>
      <c r="Q46" s="1200"/>
      <c r="R46" s="1373"/>
      <c r="V46" s="21"/>
      <c r="W46" s="22"/>
      <c r="X46" s="23"/>
      <c r="Y46" s="23"/>
      <c r="Z46" s="22"/>
      <c r="AA46" s="23"/>
      <c r="AB46" s="23"/>
      <c r="AC46" s="22"/>
      <c r="AD46" s="23"/>
    </row>
    <row r="47" spans="2:30" ht="18.75" x14ac:dyDescent="0.3">
      <c r="B47" s="27"/>
      <c r="C47" s="1372"/>
      <c r="D47" s="24"/>
      <c r="E47" s="29"/>
      <c r="F47" s="18"/>
      <c r="G47" s="18"/>
      <c r="H47" s="18"/>
      <c r="J47" s="1374" t="s">
        <v>418</v>
      </c>
      <c r="K47" s="1200"/>
      <c r="L47" s="328"/>
      <c r="M47" s="328"/>
      <c r="N47" s="1154" t="e">
        <f>O13+Q13</f>
        <v>#DIV/0!</v>
      </c>
      <c r="O47" s="328" t="e">
        <f>U13+K13</f>
        <v>#DIV/0!</v>
      </c>
      <c r="P47" s="328"/>
      <c r="Q47" s="1200"/>
      <c r="R47" s="1373"/>
      <c r="V47" s="21"/>
      <c r="W47" s="22"/>
      <c r="X47" s="23"/>
      <c r="Y47" s="23"/>
      <c r="Z47" s="22"/>
      <c r="AA47" s="23"/>
      <c r="AB47" s="23"/>
      <c r="AC47" s="22"/>
      <c r="AD47" s="23"/>
    </row>
    <row r="48" spans="2:30" ht="18.75" x14ac:dyDescent="0.3">
      <c r="B48" s="27"/>
      <c r="C48" s="1372"/>
      <c r="D48" s="24"/>
      <c r="E48" s="29"/>
      <c r="F48" s="18"/>
      <c r="G48" s="18"/>
      <c r="H48" s="18"/>
      <c r="J48" s="1153" t="s">
        <v>1335</v>
      </c>
      <c r="K48" s="1200"/>
      <c r="L48" s="328"/>
      <c r="M48" s="328"/>
      <c r="N48" s="1154" t="e">
        <f>P13*N51</f>
        <v>#DIV/0!</v>
      </c>
      <c r="O48" s="1154" t="e">
        <f>V13*N51</f>
        <v>#DIV/0!</v>
      </c>
      <c r="P48" s="328"/>
      <c r="Q48" s="1200"/>
      <c r="R48" s="1373"/>
      <c r="V48" s="21"/>
      <c r="W48" s="22"/>
      <c r="X48" s="23"/>
      <c r="Y48" s="23"/>
      <c r="Z48" s="22"/>
      <c r="AA48" s="23"/>
      <c r="AB48" s="23"/>
      <c r="AC48" s="22"/>
      <c r="AD48" s="23"/>
    </row>
    <row r="49" spans="2:30" ht="19.5" thickBot="1" x14ac:dyDescent="0.35">
      <c r="B49" s="27"/>
      <c r="C49" s="1372"/>
      <c r="D49" s="24"/>
      <c r="E49" s="29"/>
      <c r="F49" s="18"/>
      <c r="G49" s="18"/>
      <c r="H49" s="18"/>
      <c r="J49" s="19" t="s">
        <v>419</v>
      </c>
      <c r="K49" s="1375"/>
      <c r="L49" s="1376"/>
      <c r="M49" s="1376"/>
      <c r="N49" s="1377" t="e">
        <f>N13*N52</f>
        <v>#DIV/0!</v>
      </c>
      <c r="O49" s="1377" t="e">
        <f>T13*N52</f>
        <v>#DIV/0!</v>
      </c>
      <c r="P49" s="1376"/>
      <c r="Q49" s="1375"/>
      <c r="R49" s="1378"/>
      <c r="V49" s="21"/>
      <c r="W49" s="22"/>
      <c r="X49" s="23"/>
      <c r="Y49" s="23"/>
      <c r="Z49" s="22"/>
      <c r="AA49" s="23"/>
      <c r="AB49" s="23"/>
      <c r="AC49" s="22"/>
      <c r="AD49" s="23"/>
    </row>
    <row r="50" spans="2:30" ht="19.5" thickBot="1" x14ac:dyDescent="0.35">
      <c r="B50" s="27"/>
      <c r="C50" s="1372"/>
      <c r="D50" s="24"/>
      <c r="E50" s="29"/>
      <c r="F50" s="18"/>
      <c r="G50" s="18"/>
      <c r="H50" s="158"/>
      <c r="J50" s="673"/>
      <c r="K50" s="1844" t="s">
        <v>420</v>
      </c>
      <c r="L50" s="1845"/>
      <c r="M50" s="796"/>
      <c r="N50" s="1777" t="s">
        <v>100</v>
      </c>
      <c r="O50" s="1778"/>
      <c r="P50" s="796"/>
      <c r="Q50" s="1677" t="s">
        <v>421</v>
      </c>
      <c r="R50" s="1679"/>
      <c r="T50" s="682"/>
      <c r="V50" s="802"/>
      <c r="W50" s="18"/>
      <c r="X50" s="18"/>
      <c r="Y50" s="18"/>
      <c r="Z50" s="24"/>
      <c r="AA50" s="18"/>
      <c r="AB50" s="18"/>
      <c r="AC50" s="18"/>
      <c r="AD50" s="18"/>
    </row>
    <row r="51" spans="2:30" ht="15.75" x14ac:dyDescent="0.25">
      <c r="B51" s="1158"/>
      <c r="C51" s="1368"/>
      <c r="D51" s="1369"/>
      <c r="E51" s="1370"/>
      <c r="F51" s="1161"/>
      <c r="G51" s="1161"/>
      <c r="H51" s="1161"/>
      <c r="J51" s="560" t="s">
        <v>1237</v>
      </c>
      <c r="K51" s="713">
        <v>1</v>
      </c>
      <c r="L51" s="713"/>
      <c r="M51" s="713"/>
      <c r="N51" s="713">
        <v>1.18</v>
      </c>
      <c r="O51" s="713"/>
      <c r="P51" s="713"/>
      <c r="Q51" s="713">
        <v>1</v>
      </c>
      <c r="R51" s="561"/>
      <c r="V51" s="802"/>
      <c r="W51" s="18"/>
      <c r="X51" s="18"/>
      <c r="Y51" s="18"/>
      <c r="Z51" s="24"/>
      <c r="AA51" s="18"/>
      <c r="AB51" s="18"/>
      <c r="AC51" s="18"/>
      <c r="AD51" s="18"/>
    </row>
    <row r="52" spans="2:30" ht="16.5" thickBot="1" x14ac:dyDescent="0.3">
      <c r="C52" s="30"/>
      <c r="D52" s="30"/>
      <c r="E52" s="30"/>
      <c r="J52" s="19" t="s">
        <v>1238</v>
      </c>
      <c r="K52" s="718">
        <v>1</v>
      </c>
      <c r="L52" s="718"/>
      <c r="M52" s="718"/>
      <c r="N52" s="718">
        <v>1.05</v>
      </c>
      <c r="O52" s="718"/>
      <c r="P52" s="718"/>
      <c r="Q52" s="718">
        <v>1</v>
      </c>
      <c r="R52" s="666"/>
      <c r="V52" s="802"/>
      <c r="W52" s="24"/>
      <c r="X52" s="18"/>
      <c r="Y52" s="18"/>
      <c r="Z52" s="24"/>
      <c r="AA52" s="18"/>
      <c r="AB52" s="18"/>
      <c r="AC52" s="24"/>
      <c r="AD52" s="18"/>
    </row>
    <row r="53" spans="2:30" x14ac:dyDescent="0.25">
      <c r="C53" s="30"/>
      <c r="D53" s="30"/>
      <c r="E53" s="30"/>
      <c r="J53" s="560" t="s">
        <v>422</v>
      </c>
      <c r="K53" s="887"/>
      <c r="L53" s="658"/>
      <c r="M53" s="658"/>
      <c r="N53" s="712" t="e">
        <f>(N45+IF(N32=0,N46,0))/N31/$P$26</f>
        <v>#DIV/0!</v>
      </c>
      <c r="O53" s="712" t="e">
        <f>(O45+IF(O32=0,O46,0))/O31/$P$26</f>
        <v>#DIV/0!</v>
      </c>
      <c r="P53" s="658"/>
      <c r="Q53" s="887"/>
      <c r="R53" s="1380"/>
      <c r="V53" s="803"/>
      <c r="W53" s="25"/>
      <c r="X53" s="25"/>
      <c r="Y53" s="25"/>
      <c r="Z53" s="25"/>
      <c r="AA53" s="25"/>
      <c r="AB53" s="25"/>
      <c r="AC53" s="25"/>
      <c r="AD53" s="25"/>
    </row>
    <row r="54" spans="2:30" x14ac:dyDescent="0.25">
      <c r="C54" s="30"/>
      <c r="D54" s="30"/>
      <c r="E54" s="30"/>
      <c r="J54" s="1153" t="s">
        <v>423</v>
      </c>
      <c r="K54" s="1200"/>
      <c r="L54" s="328"/>
      <c r="M54" s="328"/>
      <c r="N54" s="1181">
        <f>IF(N32=0,0,N46/N32/$P$26)</f>
        <v>0</v>
      </c>
      <c r="O54" s="1181">
        <f>IF(O32=0,0,O46/O32/$P$26)</f>
        <v>0</v>
      </c>
      <c r="P54" s="328"/>
      <c r="Q54" s="1200"/>
      <c r="R54" s="1373"/>
      <c r="V54" s="803"/>
      <c r="W54" s="26"/>
      <c r="X54" s="26"/>
      <c r="Y54" s="26"/>
      <c r="Z54" s="25"/>
      <c r="AA54" s="26"/>
      <c r="AB54" s="26"/>
      <c r="AC54" s="26"/>
      <c r="AD54" s="26"/>
    </row>
    <row r="55" spans="2:30" x14ac:dyDescent="0.25">
      <c r="C55" s="30"/>
      <c r="D55" s="30"/>
      <c r="E55" s="30"/>
      <c r="J55" s="1374" t="s">
        <v>424</v>
      </c>
      <c r="K55" s="1200"/>
      <c r="L55" s="328"/>
      <c r="M55" s="328"/>
      <c r="N55" s="1181" t="e">
        <f>(N47+IF(N34=0,N48,0))/(N33*$P$26)</f>
        <v>#DIV/0!</v>
      </c>
      <c r="O55" s="1181" t="e">
        <f>(O47+IF(O34=0,O48,0))/(O33*$P$26)</f>
        <v>#DIV/0!</v>
      </c>
      <c r="P55" s="328"/>
      <c r="Q55" s="1200"/>
      <c r="R55" s="1373"/>
      <c r="T55" s="400"/>
      <c r="V55" s="803"/>
      <c r="W55" s="26"/>
      <c r="X55" s="26"/>
      <c r="Y55" s="26"/>
      <c r="Z55" s="25"/>
      <c r="AA55" s="26"/>
      <c r="AB55" s="26"/>
      <c r="AC55" s="26"/>
      <c r="AD55" s="26"/>
    </row>
    <row r="56" spans="2:30" ht="15.75" x14ac:dyDescent="0.25">
      <c r="C56" s="30"/>
      <c r="D56" s="30"/>
      <c r="E56" s="30"/>
      <c r="F56" s="682"/>
      <c r="J56" s="1153" t="s">
        <v>1320</v>
      </c>
      <c r="K56" s="1200"/>
      <c r="L56" s="328"/>
      <c r="M56" s="328"/>
      <c r="N56" s="1181">
        <f>IF(N34=0,0,N48/N34/$P$26)</f>
        <v>0</v>
      </c>
      <c r="O56" s="1181">
        <f>IF(O34=0,0,O48/O34/$P$26)</f>
        <v>0</v>
      </c>
      <c r="P56" s="328"/>
      <c r="Q56" s="1200"/>
      <c r="R56" s="1373"/>
      <c r="T56" s="275"/>
      <c r="V56" s="803"/>
      <c r="W56" s="26"/>
      <c r="X56" s="26"/>
      <c r="Y56" s="26"/>
      <c r="Z56" s="25"/>
      <c r="AA56" s="26"/>
      <c r="AB56" s="26"/>
      <c r="AC56" s="26"/>
      <c r="AD56" s="26"/>
    </row>
    <row r="57" spans="2:30" ht="16.5" thickBot="1" x14ac:dyDescent="0.3">
      <c r="C57" s="30"/>
      <c r="D57" s="30"/>
      <c r="E57" s="30"/>
      <c r="F57" s="682"/>
      <c r="J57" s="19" t="s">
        <v>425</v>
      </c>
      <c r="K57" s="1375"/>
      <c r="L57" s="1376"/>
      <c r="M57" s="1376"/>
      <c r="N57" s="1381" t="e">
        <f t="shared" ref="N57:O57" si="5">N49/N35/$P$26</f>
        <v>#DIV/0!</v>
      </c>
      <c r="O57" s="1381" t="e">
        <f t="shared" si="5"/>
        <v>#DIV/0!</v>
      </c>
      <c r="P57" s="1376"/>
      <c r="Q57" s="1375"/>
      <c r="R57" s="1378"/>
      <c r="T57" s="275"/>
      <c r="V57" s="803"/>
      <c r="W57" s="26"/>
      <c r="X57" s="26"/>
      <c r="Y57" s="26"/>
      <c r="Z57" s="25"/>
      <c r="AA57" s="26"/>
      <c r="AB57" s="26"/>
      <c r="AC57" s="26"/>
      <c r="AD57" s="26"/>
    </row>
    <row r="58" spans="2:30" ht="16.5" thickBot="1" x14ac:dyDescent="0.3">
      <c r="B58" s="400"/>
      <c r="C58" s="30"/>
      <c r="D58" s="30"/>
      <c r="E58" s="30"/>
      <c r="J58" s="19"/>
      <c r="K58" s="1185" t="str">
        <f>K30</f>
        <v>Yield at 4</v>
      </c>
      <c r="L58" s="663"/>
      <c r="M58" s="663"/>
      <c r="N58" s="27">
        <v>26</v>
      </c>
      <c r="O58" s="27">
        <v>48</v>
      </c>
      <c r="P58" s="663"/>
      <c r="Q58" s="1185" t="str">
        <f>Q30</f>
        <v>Yield at 8</v>
      </c>
      <c r="R58" s="666"/>
      <c r="S58" s="24"/>
    </row>
    <row r="59" spans="2:30" ht="19.5" thickBot="1" x14ac:dyDescent="0.35">
      <c r="C59" s="30"/>
      <c r="D59" s="30"/>
      <c r="E59" s="30"/>
      <c r="G59" s="1186"/>
      <c r="H59" s="572"/>
      <c r="J59" s="806" t="s">
        <v>426</v>
      </c>
      <c r="K59" s="1382"/>
      <c r="L59" s="1188"/>
      <c r="M59" s="1188"/>
      <c r="N59" s="1811" t="e">
        <f>MAX(N53,O53)+MAX(N55,O55)+MAX(N57,O57)</f>
        <v>#DIV/0!</v>
      </c>
      <c r="O59" s="1812"/>
      <c r="P59" s="1188"/>
      <c r="Q59" s="1383"/>
      <c r="R59" s="809"/>
      <c r="S59" s="18"/>
    </row>
    <row r="60" spans="2:30" ht="16.5" thickBot="1" x14ac:dyDescent="0.3">
      <c r="C60" s="30"/>
      <c r="D60" s="30"/>
      <c r="E60" s="30"/>
      <c r="G60" s="1190"/>
      <c r="H60" s="572"/>
      <c r="J60" s="1800" t="s">
        <v>427</v>
      </c>
      <c r="K60" s="1801"/>
      <c r="L60" s="1801"/>
      <c r="M60" s="1801"/>
      <c r="N60" s="1801"/>
      <c r="O60" s="1801"/>
      <c r="P60" s="1801"/>
      <c r="Q60" s="1801"/>
      <c r="R60" s="1802"/>
      <c r="S60" s="18"/>
    </row>
    <row r="61" spans="2:30" ht="19.5" thickBot="1" x14ac:dyDescent="0.35">
      <c r="J61" s="19" t="s">
        <v>180</v>
      </c>
      <c r="K61" s="663"/>
      <c r="L61" s="663"/>
      <c r="M61" s="663"/>
      <c r="N61" s="1837" t="e">
        <f>ROUND(IF(N59&gt;0.85-8.5/$E$13,$E$13,MAX($E$12,(15*0.85)/(0.85-N59))),0)</f>
        <v>#DIV/0!</v>
      </c>
      <c r="O61" s="1837"/>
      <c r="P61" s="663"/>
      <c r="Q61" s="663"/>
      <c r="R61" s="679"/>
      <c r="S61" s="25"/>
      <c r="T61" s="399"/>
    </row>
    <row r="62" spans="2:30" ht="19.5" thickBot="1" x14ac:dyDescent="0.35">
      <c r="J62" s="1384" t="s">
        <v>1135</v>
      </c>
      <c r="K62" s="1278"/>
      <c r="L62" s="1278"/>
      <c r="M62" s="1278"/>
      <c r="N62" s="1838"/>
      <c r="O62" s="1839"/>
      <c r="P62" s="1278"/>
      <c r="Q62" s="1278"/>
      <c r="R62" s="561"/>
      <c r="S62" s="26"/>
      <c r="T62" s="399"/>
    </row>
    <row r="63" spans="2:30" ht="16.5" thickBot="1" x14ac:dyDescent="0.3">
      <c r="J63" s="560" t="s">
        <v>428</v>
      </c>
      <c r="K63" s="887"/>
      <c r="L63" s="658"/>
      <c r="M63" s="658"/>
      <c r="N63" s="1840"/>
      <c r="O63" s="1841"/>
      <c r="P63" s="658"/>
      <c r="Q63" s="887"/>
      <c r="R63" s="1380"/>
      <c r="S63" s="26"/>
      <c r="T63" s="400"/>
    </row>
    <row r="64" spans="2:30" ht="16.5" thickBot="1" x14ac:dyDescent="0.3">
      <c r="G64" s="692" t="s">
        <v>114</v>
      </c>
      <c r="H64" s="814"/>
      <c r="J64" s="1153" t="s">
        <v>429</v>
      </c>
      <c r="K64" s="1200"/>
      <c r="L64" s="328"/>
      <c r="M64" s="328"/>
      <c r="N64" s="1385">
        <f>IF(N32=0,0,N63)</f>
        <v>0</v>
      </c>
      <c r="O64" s="1385">
        <f>IF(O32=0,0,O63)</f>
        <v>0</v>
      </c>
      <c r="P64" s="328"/>
      <c r="Q64" s="1200"/>
      <c r="R64" s="1373"/>
      <c r="S64" s="25"/>
      <c r="T64" s="399"/>
    </row>
    <row r="65" spans="4:30" ht="16.5" thickBot="1" x14ac:dyDescent="0.3">
      <c r="G65" s="695" t="s">
        <v>116</v>
      </c>
      <c r="H65" s="817"/>
      <c r="J65" s="1374" t="s">
        <v>430</v>
      </c>
      <c r="K65" s="1200"/>
      <c r="L65" s="328"/>
      <c r="M65" s="328"/>
      <c r="N65" s="1439"/>
      <c r="O65" s="1387">
        <f>N65</f>
        <v>0</v>
      </c>
      <c r="P65" s="328"/>
      <c r="Q65" s="1200"/>
      <c r="R65" s="1373"/>
      <c r="T65" s="399"/>
      <c r="V65" s="275"/>
      <c r="X65" s="14"/>
      <c r="AA65" s="14"/>
      <c r="AD65" s="14"/>
    </row>
    <row r="66" spans="4:30" ht="16.5" thickBot="1" x14ac:dyDescent="0.3">
      <c r="D66" s="309"/>
      <c r="J66" s="1388" t="s">
        <v>431</v>
      </c>
      <c r="K66" s="805"/>
      <c r="L66" s="663"/>
      <c r="M66" s="663"/>
      <c r="N66" s="1389">
        <f>N62-N63-N65-15</f>
        <v>-15</v>
      </c>
      <c r="O66" s="1389">
        <f>N62-N63-O65-15</f>
        <v>-15</v>
      </c>
      <c r="P66" s="663"/>
      <c r="Q66" s="805"/>
      <c r="R66" s="1390"/>
      <c r="X66" s="14"/>
      <c r="AA66" s="14"/>
      <c r="AD66" s="14"/>
    </row>
    <row r="67" spans="4:30" ht="16.5" thickBot="1" x14ac:dyDescent="0.3">
      <c r="J67" s="1391" t="s">
        <v>428</v>
      </c>
      <c r="K67" s="1392"/>
      <c r="L67" s="1393"/>
      <c r="M67" s="1393"/>
      <c r="N67" s="1842" t="e">
        <f>E15*N63+(1-E15)*MAX(N53:O53)*(N62-15)/N59</f>
        <v>#DIV/0!</v>
      </c>
      <c r="O67" s="1843"/>
      <c r="P67" s="1393"/>
      <c r="Q67" s="922"/>
      <c r="R67" s="1395"/>
      <c r="U67" s="399"/>
      <c r="X67" s="14"/>
      <c r="AA67" s="14"/>
      <c r="AD67" s="14"/>
    </row>
    <row r="68" spans="4:30" ht="16.5" thickBot="1" x14ac:dyDescent="0.3">
      <c r="J68" s="1396" t="s">
        <v>429</v>
      </c>
      <c r="K68" s="1397"/>
      <c r="L68" s="1398"/>
      <c r="M68" s="1398"/>
      <c r="N68" s="1394">
        <f>IF(N32=0,0,N67)</f>
        <v>0</v>
      </c>
      <c r="O68" s="1394">
        <f>IF(O32=0,0,N67)</f>
        <v>0</v>
      </c>
      <c r="P68" s="1398"/>
      <c r="Q68" s="805"/>
      <c r="R68" s="1390"/>
      <c r="T68" s="399"/>
    </row>
    <row r="69" spans="4:30" ht="16.5" thickBot="1" x14ac:dyDescent="0.3">
      <c r="G69" s="1806" t="s">
        <v>121</v>
      </c>
      <c r="H69" s="1807"/>
      <c r="J69" s="1399" t="s">
        <v>430</v>
      </c>
      <c r="K69" s="1397"/>
      <c r="L69" s="1398"/>
      <c r="M69" s="1398"/>
      <c r="N69" s="1400" t="e">
        <f>E15*N65+(1-E15)*(MAX(N55:O55)/N59)*(N62-15)</f>
        <v>#DIV/0!</v>
      </c>
      <c r="O69" s="1401" t="e">
        <f>N69</f>
        <v>#DIV/0!</v>
      </c>
      <c r="P69" s="1398"/>
      <c r="Q69" s="805"/>
      <c r="R69" s="1390"/>
      <c r="T69" s="399"/>
    </row>
    <row r="70" spans="4:30" ht="16.5" thickBot="1" x14ac:dyDescent="0.3">
      <c r="J70" s="1402" t="s">
        <v>431</v>
      </c>
      <c r="K70" s="1403"/>
      <c r="L70" s="1404"/>
      <c r="M70" s="1404"/>
      <c r="N70" s="1405" t="e">
        <f>E15*N66+(1-E15)*(N62-15-N67-N69)</f>
        <v>#DIV/0!</v>
      </c>
      <c r="O70" s="1406" t="e">
        <f>E15*O66+(1-E15)*(N62-15-N67-O69)</f>
        <v>#DIV/0!</v>
      </c>
      <c r="P70" s="1404"/>
      <c r="Q70" s="805"/>
      <c r="R70" s="1390"/>
      <c r="T70" s="399"/>
    </row>
    <row r="71" spans="4:30" ht="15.75" customHeight="1" thickBot="1" x14ac:dyDescent="0.3">
      <c r="J71" s="1829" t="s">
        <v>124</v>
      </c>
      <c r="K71" s="1830"/>
      <c r="L71" s="1830"/>
      <c r="M71" s="1830"/>
      <c r="N71" s="1830"/>
      <c r="O71" s="1830"/>
      <c r="P71" s="1830"/>
      <c r="Q71" s="1830"/>
      <c r="R71" s="1831"/>
      <c r="T71" s="399"/>
    </row>
    <row r="72" spans="4:30" ht="15.75" thickBot="1" x14ac:dyDescent="0.3">
      <c r="J72" s="560" t="s">
        <v>432</v>
      </c>
      <c r="K72" s="887"/>
      <c r="L72" s="658"/>
      <c r="M72" s="658"/>
      <c r="N72" s="712" t="e">
        <f>N53/(N67/N61)</f>
        <v>#DIV/0!</v>
      </c>
      <c r="O72" s="712" t="e">
        <f>O53/(N67/N62)</f>
        <v>#DIV/0!</v>
      </c>
      <c r="P72" s="658"/>
      <c r="Q72" s="805"/>
      <c r="R72" s="1390"/>
      <c r="T72" s="399"/>
    </row>
    <row r="73" spans="4:30" ht="15.75" thickBot="1" x14ac:dyDescent="0.3">
      <c r="J73" s="1153" t="s">
        <v>433</v>
      </c>
      <c r="K73" s="1200"/>
      <c r="L73" s="328"/>
      <c r="M73" s="328"/>
      <c r="N73" s="1181">
        <f>IF(N32=0,0,N54/(N68/N61))</f>
        <v>0</v>
      </c>
      <c r="O73" s="1181">
        <f>IF(O32=0,0,O54/(O68/N62))</f>
        <v>0</v>
      </c>
      <c r="P73" s="328"/>
      <c r="Q73" s="805"/>
      <c r="R73" s="1390"/>
    </row>
    <row r="74" spans="4:30" ht="15.75" thickBot="1" x14ac:dyDescent="0.3">
      <c r="J74" s="1374" t="s">
        <v>434</v>
      </c>
      <c r="K74" s="1200"/>
      <c r="L74" s="328"/>
      <c r="M74" s="328"/>
      <c r="N74" s="1181" t="e">
        <f>N55/(N69/N62)</f>
        <v>#DIV/0!</v>
      </c>
      <c r="O74" s="1181" t="e">
        <f>O55/(O69/N62)</f>
        <v>#DIV/0!</v>
      </c>
      <c r="P74" s="328"/>
      <c r="Q74" s="805"/>
      <c r="R74" s="1390"/>
    </row>
    <row r="75" spans="4:30" ht="15.75" thickBot="1" x14ac:dyDescent="0.3">
      <c r="J75" s="1153" t="s">
        <v>1321</v>
      </c>
      <c r="K75" s="1200"/>
      <c r="L75" s="328"/>
      <c r="M75" s="328"/>
      <c r="N75" s="1181" t="e">
        <f>N56/(N69/N62)</f>
        <v>#DIV/0!</v>
      </c>
      <c r="O75" s="1181" t="e">
        <f>O56/(N70/N62)</f>
        <v>#DIV/0!</v>
      </c>
      <c r="P75" s="663"/>
      <c r="Q75" s="805"/>
      <c r="R75" s="1390"/>
    </row>
    <row r="76" spans="4:30" ht="15.75" thickBot="1" x14ac:dyDescent="0.3">
      <c r="E76">
        <f>1-1.33*35/60</f>
        <v>0.22416666666666663</v>
      </c>
      <c r="J76" s="19" t="s">
        <v>435</v>
      </c>
      <c r="K76" s="1375"/>
      <c r="L76" s="1376"/>
      <c r="M76" s="1376"/>
      <c r="N76" s="1381" t="e">
        <f>N57/(N70/N62)</f>
        <v>#DIV/0!</v>
      </c>
      <c r="O76" s="1381" t="e">
        <f>O57/(O70/N62)</f>
        <v>#DIV/0!</v>
      </c>
      <c r="P76" s="1407"/>
      <c r="Q76" s="805"/>
      <c r="R76" s="1390"/>
    </row>
    <row r="77" spans="4:30" x14ac:dyDescent="0.25">
      <c r="J77" s="1408" t="s">
        <v>436</v>
      </c>
      <c r="K77" s="1409" t="e">
        <f>K39/K43</f>
        <v>#DIV/0!</v>
      </c>
      <c r="L77" s="1410"/>
      <c r="M77" s="1410"/>
      <c r="N77" s="1411"/>
      <c r="O77" s="1411"/>
      <c r="P77" s="1412"/>
      <c r="Q77" s="1409" t="e">
        <f>Q39/Q43</f>
        <v>#DIV/0!</v>
      </c>
      <c r="R77" s="1413"/>
    </row>
    <row r="78" spans="4:30" ht="15.75" thickBot="1" x14ac:dyDescent="0.3">
      <c r="J78" s="19" t="s">
        <v>437</v>
      </c>
      <c r="K78" s="717" t="e">
        <f>K40/K44</f>
        <v>#DIV/0!</v>
      </c>
      <c r="L78" s="663"/>
      <c r="M78" s="663"/>
      <c r="N78" s="1414"/>
      <c r="O78" s="1414"/>
      <c r="P78" s="1407"/>
      <c r="Q78" s="717" t="e">
        <f>Q40/Q44</f>
        <v>#DIV/0!</v>
      </c>
      <c r="R78" s="666"/>
    </row>
    <row r="79" spans="4:30" ht="15.75" thickBot="1" x14ac:dyDescent="0.3">
      <c r="J79" s="560" t="s">
        <v>438</v>
      </c>
      <c r="K79" s="1415"/>
      <c r="L79" s="658"/>
      <c r="M79" s="658"/>
      <c r="N79" s="886" t="e">
        <f>MAX(0,(1-VLOOKUP($E$16,$E$81:$F$86,2,FALSE)*N67/N62)/(1-N67/N62))</f>
        <v>#N/A</v>
      </c>
      <c r="O79" s="886" t="e">
        <f>MAX(0,(1-VLOOKUP($E$16,$E$81:$F$86,2,FALSE)*N67/N62)/(1-N67/N62))</f>
        <v>#N/A</v>
      </c>
      <c r="P79" s="658"/>
      <c r="Q79" s="1415"/>
      <c r="R79" s="561"/>
    </row>
    <row r="80" spans="4:30" x14ac:dyDescent="0.25">
      <c r="E80" s="315" t="s">
        <v>946</v>
      </c>
      <c r="F80" s="316" t="s">
        <v>948</v>
      </c>
      <c r="J80" s="1153" t="s">
        <v>439</v>
      </c>
      <c r="K80" s="1179"/>
      <c r="L80" s="328"/>
      <c r="M80" s="328"/>
      <c r="N80" s="1233" t="e">
        <f>MAX(0,(1-VLOOKUP($E$16,$E$81:$F$86,2,FALSE)*N67/N62)/(1-N67/N62))</f>
        <v>#N/A</v>
      </c>
      <c r="O80" s="1233" t="e">
        <f>MAX(0,(1-VLOOKUP($E$16,$E$81:$F$86,2,FALSE)*N67/N62)/(1-N67/N62))</f>
        <v>#N/A</v>
      </c>
      <c r="P80" s="328"/>
      <c r="Q80" s="1179"/>
      <c r="R80" s="1196"/>
    </row>
    <row r="81" spans="5:20" x14ac:dyDescent="0.25">
      <c r="E81" s="317">
        <v>1</v>
      </c>
      <c r="F81" s="318">
        <v>0.33</v>
      </c>
      <c r="J81" s="1374" t="s">
        <v>440</v>
      </c>
      <c r="K81" s="1235"/>
      <c r="L81" s="1177"/>
      <c r="M81" s="1177"/>
      <c r="N81" s="1234">
        <v>1</v>
      </c>
      <c r="O81" s="1234">
        <v>1</v>
      </c>
      <c r="P81" s="1177"/>
      <c r="Q81" s="1235"/>
      <c r="R81" s="1199"/>
    </row>
    <row r="82" spans="5:20" x14ac:dyDescent="0.25">
      <c r="E82" s="317">
        <v>2</v>
      </c>
      <c r="F82" s="318">
        <v>0.67</v>
      </c>
      <c r="J82" s="1153" t="s">
        <v>441</v>
      </c>
      <c r="K82" s="1179"/>
      <c r="L82" s="328"/>
      <c r="M82" s="328"/>
      <c r="N82" s="1233">
        <v>1</v>
      </c>
      <c r="O82" s="1233">
        <v>1</v>
      </c>
      <c r="P82" s="328"/>
      <c r="Q82" s="1179"/>
      <c r="R82" s="1196"/>
      <c r="T82" s="399"/>
    </row>
    <row r="83" spans="5:20" ht="15.75" thickBot="1" x14ac:dyDescent="0.3">
      <c r="E83" s="317">
        <v>3</v>
      </c>
      <c r="F83" s="318">
        <v>1</v>
      </c>
      <c r="J83" s="19" t="s">
        <v>442</v>
      </c>
      <c r="K83" s="1235"/>
      <c r="L83" s="1177"/>
      <c r="M83" s="1177"/>
      <c r="N83" s="1233">
        <v>1</v>
      </c>
      <c r="O83" s="1233">
        <v>1</v>
      </c>
      <c r="P83" s="1177"/>
      <c r="Q83" s="1235"/>
      <c r="R83" s="1199"/>
    </row>
    <row r="84" spans="5:20" x14ac:dyDescent="0.25">
      <c r="E84" s="317">
        <v>4</v>
      </c>
      <c r="F84" s="318">
        <v>1.33</v>
      </c>
      <c r="J84" s="1153" t="s">
        <v>443</v>
      </c>
      <c r="K84" s="1181">
        <v>1</v>
      </c>
      <c r="L84" s="328"/>
      <c r="M84" s="328"/>
      <c r="N84" s="1237"/>
      <c r="O84" s="1200"/>
      <c r="P84" s="328"/>
      <c r="Q84" s="1181">
        <v>1</v>
      </c>
      <c r="R84" s="1196"/>
    </row>
    <row r="85" spans="5:20" ht="15.75" thickBot="1" x14ac:dyDescent="0.3">
      <c r="E85" s="317">
        <v>5</v>
      </c>
      <c r="F85" s="318">
        <v>1.67</v>
      </c>
      <c r="J85" s="1374" t="s">
        <v>444</v>
      </c>
      <c r="K85" s="1416">
        <v>1</v>
      </c>
      <c r="L85" s="273"/>
      <c r="M85" s="273"/>
      <c r="N85" s="1238"/>
      <c r="O85" s="659"/>
      <c r="P85" s="18"/>
      <c r="Q85" s="309">
        <v>1</v>
      </c>
      <c r="R85" s="570"/>
    </row>
    <row r="86" spans="5:20" ht="16.5" thickBot="1" x14ac:dyDescent="0.3">
      <c r="E86" s="330">
        <v>6</v>
      </c>
      <c r="F86" s="331">
        <v>2</v>
      </c>
      <c r="J86" s="461"/>
      <c r="K86" s="1379" t="s">
        <v>445</v>
      </c>
      <c r="L86" s="1832"/>
      <c r="M86" s="1832"/>
      <c r="N86" s="1140" t="s">
        <v>446</v>
      </c>
      <c r="O86" s="1418" t="s">
        <v>401</v>
      </c>
      <c r="P86" s="1419"/>
      <c r="Q86" s="1420" t="str">
        <f>Q28</f>
        <v>Jughandle leg at 8</v>
      </c>
      <c r="R86" s="526"/>
    </row>
    <row r="87" spans="5:20" x14ac:dyDescent="0.25">
      <c r="J87" s="17" t="s">
        <v>447</v>
      </c>
      <c r="K87" s="725"/>
      <c r="L87" s="308"/>
      <c r="M87" s="308"/>
      <c r="N87" s="308" t="e">
        <f>N79*0.5*$N$62*(1-N67/$N$62)^2/(1-MIN(1,N72)*N67/$N$62)+225*(N72-1+SQRT((N72-1)^2+16*N72/(N45/N72)))</f>
        <v>#N/A</v>
      </c>
      <c r="O87" s="308" t="e">
        <f>O79*0.5*$N$62*(1-O67/$N$62)^2/(1-MIN(1,O72)*O67/$N$62)+225*(O72-1+SQRT((O72-1)^2+16*O72/(O45/O72)))</f>
        <v>#N/A</v>
      </c>
      <c r="P87" s="308"/>
      <c r="Q87" s="725"/>
      <c r="R87" s="570"/>
      <c r="T87" s="308"/>
    </row>
    <row r="88" spans="5:20" x14ac:dyDescent="0.25">
      <c r="J88" s="1153" t="s">
        <v>1322</v>
      </c>
      <c r="K88" s="725"/>
      <c r="L88" s="308"/>
      <c r="M88" s="308"/>
      <c r="N88" s="308">
        <f>IF(N32=0,0,N80*0.5*$N$62*(1-N68/$N$62)^2/(1-MIN(1,N73)*N68/$N$62)+225*(N73-1+SQRT((N73-1)^2+16*N73/(N46/N73))))</f>
        <v>0</v>
      </c>
      <c r="O88" s="308">
        <f>IF(O32=0,0,O80*0.5*$N$62*(1-O68/$N$62)^2/(1-MIN(1,O73)*O68/$N$62)+225*(O73-1+SQRT((O73-1)^2+16*O73/(O46/O73))))</f>
        <v>0</v>
      </c>
      <c r="P88" s="308"/>
      <c r="Q88" s="725"/>
      <c r="R88" s="570"/>
      <c r="T88" s="308"/>
    </row>
    <row r="89" spans="5:20" x14ac:dyDescent="0.25">
      <c r="J89" s="1374" t="s">
        <v>1323</v>
      </c>
      <c r="K89" s="1249"/>
      <c r="L89" s="1421"/>
      <c r="M89" s="1246"/>
      <c r="N89" s="1246" t="e">
        <f>N81*0.5*$N$62*(1-N69/$N$62)^2/(1-MIN(1,N74)*N69/$N$62)+225*(N74-1+SQRT((N74-1)^2+16*N74/(N47/N74)))</f>
        <v>#DIV/0!</v>
      </c>
      <c r="O89" s="1246" t="e">
        <f>O81*0.5*$N$62*(1-O69/$N$62)^2/(1-MIN(1,O74)*O69/$N$62)+225*(O74-1+SQRT((O74-1)^2+16*O74/(O47/O74)))</f>
        <v>#DIV/0!</v>
      </c>
      <c r="P89" s="1422"/>
      <c r="Q89" s="1249"/>
      <c r="R89" s="1199"/>
      <c r="T89" s="308"/>
    </row>
    <row r="90" spans="5:20" x14ac:dyDescent="0.25">
      <c r="J90" s="1153" t="s">
        <v>1324</v>
      </c>
      <c r="K90" s="1249"/>
      <c r="L90" s="1423"/>
      <c r="M90" s="1248"/>
      <c r="N90" s="1248">
        <f>IF(N34=0,0,N82*0.5*$N$62*(1-N69/$N$62)^2/(1-MIN(1,N75)*N69/$N$62)+225*(N75-1+SQRT((N75-1)^2+16*N75/(N48/N75))))</f>
        <v>0</v>
      </c>
      <c r="O90" s="1248">
        <f>IF(O34=0,0,O82*0.5*$N$62*(1-O69/$N$62)^2/(1-MIN(1,O75)*O69/$N$62)+225*(O75-1+SQRT((O75-1)^2+16*O75/(O48/O75))))</f>
        <v>0</v>
      </c>
      <c r="P90" s="1424"/>
      <c r="Q90" s="1249"/>
      <c r="R90" s="1196"/>
      <c r="T90" s="308"/>
    </row>
    <row r="91" spans="5:20" x14ac:dyDescent="0.25">
      <c r="J91" s="1374" t="s">
        <v>1325</v>
      </c>
      <c r="K91" s="1249"/>
      <c r="L91" s="308"/>
      <c r="M91" s="308"/>
      <c r="N91" s="308" t="e">
        <f>N83*0.5*$N$62*(1-N70/$N$62)^2/(1-MIN(1,N76)*N70/$N$62)+225*(N76-1+SQRT((N76-1)^2+16*N76/(N49/N76)))</f>
        <v>#DIV/0!</v>
      </c>
      <c r="O91" s="308" t="e">
        <f>O83*0.5*$N$62*(1-O70/$N$62)^2/(1-MIN(1,O76)*O70/$N$62)+225*(O76-1+SQRT((O76-1)^2+16*O76/(O49/O76)))</f>
        <v>#DIV/0!</v>
      </c>
      <c r="P91" s="308"/>
      <c r="Q91" s="1249"/>
      <c r="R91" s="1199"/>
      <c r="T91" s="308"/>
    </row>
    <row r="92" spans="5:20" x14ac:dyDescent="0.25">
      <c r="J92" s="1374" t="s">
        <v>448</v>
      </c>
      <c r="K92" s="1246" t="e">
        <f>3600/K43+5+225*(K77-1+SQRT((K77-1)^2+32*K77/K43))</f>
        <v>#DIV/0!</v>
      </c>
      <c r="L92" s="1248"/>
      <c r="M92" s="1248"/>
      <c r="N92" s="1247">
        <f>IF(N32=0,0,N74*0.5*N62*(1-N73/N62)^2/(1-#REF!)+225*(#REF!-1+SQRT((#REF!-1)^2+16*#REF!/(#REF!/#REF!))))</f>
        <v>0</v>
      </c>
      <c r="O92" s="1247"/>
      <c r="P92" s="1248"/>
      <c r="Q92" s="1246" t="e">
        <f>3600/Q43+5+225*(Q77-1+SQRT((Q77-1)^2+32*Q77/Q43))</f>
        <v>#DIV/0!</v>
      </c>
      <c r="R92" s="1196"/>
    </row>
    <row r="93" spans="5:20" ht="15.75" thickBot="1" x14ac:dyDescent="0.3">
      <c r="J93" s="19" t="s">
        <v>449</v>
      </c>
      <c r="K93" s="1246" t="e">
        <f>3600/K44+5+225*(K78-1+SQRT((K78-1)^2+32*K78/K44))</f>
        <v>#DIV/0!</v>
      </c>
      <c r="L93" s="1425"/>
      <c r="M93" s="1425"/>
      <c r="N93" s="1426">
        <f>IF(N33=0,0,0.5*N62*(1-N73/N62)^2/(1-#REF!)+225*(#REF!-1+SQRT((#REF!-1)^2+16*#REF!/(#REF!/#REF!))))</f>
        <v>0</v>
      </c>
      <c r="O93" s="1426"/>
      <c r="P93" s="1425"/>
      <c r="Q93" s="1246" t="e">
        <f>3600/Q44+5+225*(Q78-1+SQRT((Q78-1)^2+32*Q78/Q44))</f>
        <v>#DIV/0!</v>
      </c>
      <c r="R93" s="1427"/>
    </row>
    <row r="94" spans="5:20" ht="19.5" thickBot="1" x14ac:dyDescent="0.35">
      <c r="J94" s="1428" t="s">
        <v>450</v>
      </c>
      <c r="K94" s="1429" t="e">
        <f>SUMPRODUCT(K92:K93,K39:K40)/SUM(K39:K40)</f>
        <v>#DIV/0!</v>
      </c>
      <c r="L94" s="1430"/>
      <c r="M94" s="1430"/>
      <c r="N94" s="1833" t="e">
        <f>SUMPRODUCT(N87:O91,N45:O49)/SUM(N45:O49)</f>
        <v>#N/A</v>
      </c>
      <c r="O94" s="1834"/>
      <c r="P94" s="1430"/>
      <c r="Q94" s="1429" t="e">
        <f>SUMPRODUCT(Q92:Q93,Q39:Q40)/SUM(Q39:Q40)</f>
        <v>#DIV/0!</v>
      </c>
      <c r="R94" s="1431"/>
    </row>
    <row r="95" spans="5:20" ht="6.75" customHeight="1" thickBot="1" x14ac:dyDescent="0.3">
      <c r="K95" s="20"/>
      <c r="L95" s="308"/>
      <c r="M95" s="308"/>
      <c r="N95" s="20"/>
      <c r="O95" s="308"/>
      <c r="P95" s="308"/>
      <c r="Q95" s="308"/>
      <c r="R95" s="308"/>
    </row>
    <row r="96" spans="5:20" ht="19.5" customHeight="1" thickBot="1" x14ac:dyDescent="0.3">
      <c r="J96" s="1432" t="s">
        <v>451</v>
      </c>
      <c r="K96" s="1835" t="s">
        <v>400</v>
      </c>
      <c r="L96" s="1836"/>
      <c r="M96" s="658"/>
      <c r="N96" s="777" t="s">
        <v>100</v>
      </c>
      <c r="O96" s="658"/>
      <c r="P96" s="658"/>
      <c r="Q96" s="1433" t="str">
        <f>Q30</f>
        <v>Yield at 8</v>
      </c>
      <c r="R96" s="561"/>
    </row>
    <row r="97" spans="10:18" ht="18.75" customHeight="1" x14ac:dyDescent="0.25">
      <c r="J97" s="560" t="s">
        <v>1326</v>
      </c>
      <c r="K97" s="1434"/>
      <c r="L97" s="731"/>
      <c r="M97" s="731"/>
      <c r="N97" s="731" t="e">
        <f>2*25*N87*(N45/N72)/(3600*N31)</f>
        <v>#N/A</v>
      </c>
      <c r="O97" s="731" t="e">
        <f>2*25*O87*(O45/O72)/(3600*O31)</f>
        <v>#N/A</v>
      </c>
      <c r="P97" s="731"/>
      <c r="Q97" s="1434"/>
      <c r="R97" s="561"/>
    </row>
    <row r="98" spans="10:18" x14ac:dyDescent="0.25">
      <c r="J98" s="1153" t="s">
        <v>1327</v>
      </c>
      <c r="K98" s="504"/>
      <c r="L98" s="20"/>
      <c r="M98" s="20"/>
      <c r="N98" s="1154">
        <f>IF(N32=0,0,2*25*N88*(N46/N73)/(3600*N32))</f>
        <v>0</v>
      </c>
      <c r="O98" s="1154">
        <f>IF(O32=0,0,2*25*O88*(O46/O73)/(3600*O32))</f>
        <v>0</v>
      </c>
      <c r="P98" s="20"/>
      <c r="Q98" s="504"/>
      <c r="R98" s="570"/>
    </row>
    <row r="99" spans="10:18" x14ac:dyDescent="0.25">
      <c r="J99" s="1374" t="s">
        <v>1328</v>
      </c>
      <c r="K99" s="1163"/>
      <c r="L99" s="341"/>
      <c r="M99" s="342"/>
      <c r="N99" s="342" t="e">
        <f>2*25*N89*(N47/N74)/(3600*N33)</f>
        <v>#DIV/0!</v>
      </c>
      <c r="O99" s="342" t="e">
        <f>2*25*O89*(O47/O74)/(3600*O33)</f>
        <v>#DIV/0!</v>
      </c>
      <c r="P99" s="343"/>
      <c r="Q99" s="1163"/>
      <c r="R99" s="1199"/>
    </row>
    <row r="100" spans="10:18" x14ac:dyDescent="0.25">
      <c r="J100" s="1153" t="s">
        <v>1329</v>
      </c>
      <c r="K100" s="1162"/>
      <c r="L100" s="1435"/>
      <c r="M100" s="1154"/>
      <c r="N100" s="1154">
        <f>IF(N34=0,0,2*25*N90*(N48/N75)/(3600*N34))</f>
        <v>0</v>
      </c>
      <c r="O100" s="1154">
        <f>IF(O34=0,0,2*25*O90*(O48/O75)/(3600*O34))</f>
        <v>0</v>
      </c>
      <c r="P100" s="1436"/>
      <c r="Q100" s="1162"/>
      <c r="R100" s="1196"/>
    </row>
    <row r="101" spans="10:18" x14ac:dyDescent="0.25">
      <c r="J101" s="1374" t="s">
        <v>1330</v>
      </c>
      <c r="K101" s="1437"/>
      <c r="L101" s="342"/>
      <c r="M101" s="342"/>
      <c r="N101" s="342" t="e">
        <f>2*25*N91*(N49/N76)/(3600*N35)</f>
        <v>#DIV/0!</v>
      </c>
      <c r="O101" s="342" t="e">
        <f>2*25*O91*(O49/O76)/(3600*O35)</f>
        <v>#DIV/0!</v>
      </c>
      <c r="P101" s="342"/>
      <c r="Q101" s="1438"/>
      <c r="R101" s="335"/>
    </row>
    <row r="102" spans="10:18" x14ac:dyDescent="0.25">
      <c r="J102" s="1374" t="s">
        <v>1331</v>
      </c>
      <c r="K102" s="342" t="e">
        <f>2*25*K92*K43/(3600*K36)</f>
        <v>#DIV/0!</v>
      </c>
      <c r="L102" s="1154"/>
      <c r="M102" s="1154"/>
      <c r="N102" s="1162"/>
      <c r="O102" s="1162"/>
      <c r="P102" s="1154"/>
      <c r="Q102" s="342" t="e">
        <f>2*25*Q92*Q43/(3600*Q36)</f>
        <v>#DIV/0!</v>
      </c>
      <c r="R102" s="340"/>
    </row>
    <row r="103" spans="10:18" ht="15.75" thickBot="1" x14ac:dyDescent="0.3">
      <c r="J103" s="19" t="s">
        <v>1332</v>
      </c>
      <c r="K103" s="342" t="e">
        <f>2*25*K93*K44/(3600*K37)</f>
        <v>#DIV/0!</v>
      </c>
      <c r="L103" s="671"/>
      <c r="M103" s="671"/>
      <c r="N103" s="1164"/>
      <c r="O103" s="1164"/>
      <c r="P103" s="671"/>
      <c r="Q103" s="342" t="e">
        <f>2*25*Q93*Q44/(3600*Q37)</f>
        <v>#DIV/0!</v>
      </c>
      <c r="R103" s="666"/>
    </row>
    <row r="104" spans="10:18" x14ac:dyDescent="0.25">
      <c r="J104" s="484"/>
      <c r="K104" s="731"/>
      <c r="L104" s="731"/>
      <c r="M104" s="731"/>
      <c r="N104" s="731"/>
      <c r="O104" s="731"/>
      <c r="P104" s="731"/>
      <c r="Q104" s="731"/>
      <c r="R104" s="484"/>
    </row>
    <row r="105" spans="10:18" ht="15.75" x14ac:dyDescent="0.25">
      <c r="J105" s="720"/>
      <c r="K105" s="361"/>
      <c r="N105" s="1649"/>
      <c r="O105" s="1649"/>
      <c r="Q105" s="361"/>
    </row>
    <row r="107" spans="10:18" x14ac:dyDescent="0.25">
      <c r="O107" s="31"/>
    </row>
  </sheetData>
  <sheetProtection algorithmName="SHA-512" hashValue="DqeH1dr/nZ5PnXvUizcWUMcUVYGYgZUGvi2FjOCqeX2xEI84NX7aA/clWRVdshV3mNRbuDFuCgp/RmINXaynTw==" saltValue="MGPFGDsopUitkAbMSWTFVw==" spinCount="100000" sheet="1" objects="1" scenarios="1"/>
  <mergeCells count="34">
    <mergeCell ref="J28:J30"/>
    <mergeCell ref="G7:H7"/>
    <mergeCell ref="X7:Y7"/>
    <mergeCell ref="C3:E3"/>
    <mergeCell ref="J3:V3"/>
    <mergeCell ref="G6:I6"/>
    <mergeCell ref="X6:Y6"/>
    <mergeCell ref="E5:I5"/>
    <mergeCell ref="G13:H13"/>
    <mergeCell ref="G20:H20"/>
    <mergeCell ref="G21:H21"/>
    <mergeCell ref="L25:P25"/>
    <mergeCell ref="L26:O26"/>
    <mergeCell ref="Q28:R28"/>
    <mergeCell ref="K29:L29"/>
    <mergeCell ref="N29:O29"/>
    <mergeCell ref="Q29:R29"/>
    <mergeCell ref="K50:L50"/>
    <mergeCell ref="N50:O50"/>
    <mergeCell ref="Q50:R50"/>
    <mergeCell ref="K28:L28"/>
    <mergeCell ref="N28:O28"/>
    <mergeCell ref="N105:O105"/>
    <mergeCell ref="N59:O59"/>
    <mergeCell ref="J60:R60"/>
    <mergeCell ref="N61:O61"/>
    <mergeCell ref="N62:O62"/>
    <mergeCell ref="N63:O63"/>
    <mergeCell ref="N67:O67"/>
    <mergeCell ref="G69:H69"/>
    <mergeCell ref="J71:R71"/>
    <mergeCell ref="L86:M86"/>
    <mergeCell ref="N94:O94"/>
    <mergeCell ref="K96:L96"/>
  </mergeCells>
  <conditionalFormatting sqref="K97:M101 P97:Q101 L102:P103 K104:Q104">
    <cfRule type="cellIs" dxfId="24" priority="2" operator="greaterThan">
      <formula>$E$11</formula>
    </cfRule>
  </conditionalFormatting>
  <conditionalFormatting sqref="K59:N59 P59:Q59">
    <cfRule type="containsText" dxfId="23" priority="9" operator="containsText" text="OVERCAP">
      <formula>NOT(ISERROR(SEARCH("OVERCAP",K59)))</formula>
    </cfRule>
  </conditionalFormatting>
  <conditionalFormatting sqref="K16:V16">
    <cfRule type="colorScale" priority="7">
      <colorScale>
        <cfvo type="min"/>
        <cfvo type="percentile" val="50"/>
        <cfvo type="max"/>
        <color rgb="FF63BE7B"/>
        <color rgb="FFFFEB84"/>
        <color rgb="FFF8696B"/>
      </colorScale>
    </cfRule>
  </conditionalFormatting>
  <conditionalFormatting sqref="K18:V18">
    <cfRule type="cellIs" dxfId="22" priority="5" operator="equal">
      <formula>"F"</formula>
    </cfRule>
    <cfRule type="colorScale" priority="6">
      <colorScale>
        <cfvo type="min"/>
        <cfvo type="percentile" val="50"/>
        <cfvo type="max"/>
        <color rgb="FF63BE7B"/>
        <color rgb="FFFFEB84"/>
        <color rgb="FFF8696B"/>
      </colorScale>
    </cfRule>
  </conditionalFormatting>
  <conditionalFormatting sqref="K95 N95">
    <cfRule type="colorScale" priority="8">
      <colorScale>
        <cfvo type="min"/>
        <cfvo type="percentile" val="50"/>
        <cfvo type="max"/>
        <color rgb="FF63BE7B"/>
        <color rgb="FFFFEB84"/>
        <color rgb="FFF8696B"/>
      </colorScale>
    </cfRule>
  </conditionalFormatting>
  <conditionalFormatting sqref="N72:O76">
    <cfRule type="cellIs" dxfId="21" priority="1" operator="greaterThan">
      <formula>1</formula>
    </cfRule>
  </conditionalFormatting>
  <conditionalFormatting sqref="O23:V23">
    <cfRule type="colorScale" priority="3">
      <colorScale>
        <cfvo type="min"/>
        <cfvo type="percentile" val="50"/>
        <cfvo type="max"/>
        <color rgb="FF63BE7B"/>
        <color rgb="FFFFEB84"/>
        <color rgb="FFF8696B"/>
      </colorScale>
    </cfRule>
  </conditionalFormatting>
  <conditionalFormatting sqref="V20">
    <cfRule type="containsText" dxfId="20" priority="4" operator="containsText" text="YES">
      <formula>NOT(ISERROR(SEARCH("YES",V20)))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D98"/>
  <sheetViews>
    <sheetView topLeftCell="A2" workbookViewId="0">
      <selection activeCell="E11" sqref="E11"/>
    </sheetView>
  </sheetViews>
  <sheetFormatPr defaultColWidth="8.85546875" defaultRowHeight="15" x14ac:dyDescent="0.25"/>
  <cols>
    <col min="1" max="1" width="0.7109375" customWidth="1"/>
    <col min="2" max="2" width="1.7109375" customWidth="1"/>
    <col min="4" max="4" width="51.42578125" customWidth="1"/>
    <col min="5" max="5" width="17.140625" customWidth="1"/>
    <col min="6" max="6" width="15.28515625" customWidth="1"/>
    <col min="7" max="7" width="6.7109375" customWidth="1"/>
    <col min="8" max="8" width="8.85546875" customWidth="1"/>
    <col min="9" max="9" width="2.42578125" customWidth="1"/>
    <col min="10" max="10" width="41.140625" customWidth="1"/>
    <col min="11" max="11" width="17.85546875" customWidth="1"/>
    <col min="13" max="13" width="13.85546875" customWidth="1"/>
    <col min="14" max="14" width="10.7109375" customWidth="1"/>
    <col min="15" max="15" width="11.28515625" customWidth="1"/>
    <col min="16" max="16" width="10" customWidth="1"/>
    <col min="17" max="17" width="11.28515625" customWidth="1"/>
    <col min="18" max="18" width="12.28515625" customWidth="1"/>
    <col min="19" max="19" width="7.42578125" customWidth="1"/>
    <col min="20" max="20" width="10.140625" customWidth="1"/>
    <col min="21" max="21" width="9.7109375" customWidth="1"/>
    <col min="22" max="22" width="9.42578125" customWidth="1"/>
    <col min="23" max="23" width="7.85546875" customWidth="1"/>
    <col min="24" max="24" width="6.7109375" customWidth="1"/>
    <col min="25" max="26" width="8.140625" customWidth="1"/>
  </cols>
  <sheetData>
    <row r="1" spans="3:25" ht="4.5" hidden="1" customHeight="1" x14ac:dyDescent="0.25"/>
    <row r="2" spans="3:25" ht="4.5" customHeight="1" thickBot="1" x14ac:dyDescent="0.3"/>
    <row r="3" spans="3:25" ht="19.5" thickBot="1" x14ac:dyDescent="0.35">
      <c r="C3" s="1685" t="s">
        <v>0</v>
      </c>
      <c r="D3" s="1686"/>
      <c r="E3" s="1687"/>
      <c r="J3" s="1685" t="s">
        <v>1067</v>
      </c>
      <c r="K3" s="1686"/>
      <c r="L3" s="1686"/>
      <c r="M3" s="1686"/>
      <c r="N3" s="1686"/>
      <c r="O3" s="1686"/>
      <c r="P3" s="1686"/>
      <c r="Q3" s="1686"/>
      <c r="R3" s="1686"/>
      <c r="S3" s="1686"/>
      <c r="T3" s="1686"/>
      <c r="U3" s="1686"/>
      <c r="V3" s="1687"/>
    </row>
    <row r="4" spans="3:25" ht="5.25" customHeight="1" thickBot="1" x14ac:dyDescent="0.3"/>
    <row r="5" spans="3:25" ht="20.25" customHeight="1" thickBot="1" x14ac:dyDescent="0.3">
      <c r="C5" s="461" t="s">
        <v>1043</v>
      </c>
      <c r="D5" s="227"/>
      <c r="E5" s="1847">
        <f>'GLOBAL INPUTS'!F55</f>
        <v>0</v>
      </c>
      <c r="F5" s="1848"/>
      <c r="G5" s="1848"/>
      <c r="H5" s="1848"/>
      <c r="I5" s="1849"/>
    </row>
    <row r="6" spans="3:25" ht="15.75" x14ac:dyDescent="0.25">
      <c r="C6" s="17" t="s">
        <v>1280</v>
      </c>
      <c r="D6" s="561"/>
      <c r="E6" s="891">
        <f>'GLOBAL INPUTS'!F56</f>
        <v>0</v>
      </c>
      <c r="F6" s="1441"/>
      <c r="G6" s="1846"/>
      <c r="H6" s="1846"/>
      <c r="I6" s="1846"/>
      <c r="J6" s="566" t="s">
        <v>6</v>
      </c>
      <c r="K6" s="567">
        <v>2</v>
      </c>
      <c r="L6" s="567">
        <v>2</v>
      </c>
      <c r="M6" s="568">
        <v>2</v>
      </c>
      <c r="N6" s="569">
        <v>4</v>
      </c>
      <c r="O6" s="567">
        <v>4</v>
      </c>
      <c r="P6" s="568">
        <v>4</v>
      </c>
      <c r="Q6" s="569">
        <v>6</v>
      </c>
      <c r="R6" s="567">
        <v>6</v>
      </c>
      <c r="S6" s="568">
        <v>6</v>
      </c>
      <c r="T6" s="569">
        <v>8</v>
      </c>
      <c r="U6" s="567">
        <v>8</v>
      </c>
      <c r="V6" s="568">
        <v>8</v>
      </c>
      <c r="X6" s="1767"/>
      <c r="Y6" s="1767"/>
    </row>
    <row r="7" spans="3:25" ht="15.75" x14ac:dyDescent="0.25">
      <c r="C7" s="17" t="s">
        <v>1281</v>
      </c>
      <c r="D7" s="570"/>
      <c r="E7" s="571">
        <f>'GLOBAL INPUTS'!F57</f>
        <v>0</v>
      </c>
      <c r="F7" s="1442" t="s">
        <v>1035</v>
      </c>
      <c r="G7" s="1792"/>
      <c r="H7" s="1792"/>
      <c r="I7" s="180"/>
      <c r="J7" s="573" t="s">
        <v>7</v>
      </c>
      <c r="K7" s="32">
        <v>4</v>
      </c>
      <c r="L7" s="32">
        <v>6</v>
      </c>
      <c r="M7" s="574">
        <v>8</v>
      </c>
      <c r="N7" s="575">
        <v>6</v>
      </c>
      <c r="O7" s="32">
        <v>8</v>
      </c>
      <c r="P7" s="574">
        <v>2</v>
      </c>
      <c r="Q7" s="575">
        <v>8</v>
      </c>
      <c r="R7" s="32">
        <v>2</v>
      </c>
      <c r="S7" s="574">
        <v>4</v>
      </c>
      <c r="T7" s="575">
        <v>2</v>
      </c>
      <c r="U7" s="32">
        <v>4</v>
      </c>
      <c r="V7" s="574">
        <v>6</v>
      </c>
      <c r="X7" s="1768"/>
      <c r="Y7" s="1768"/>
    </row>
    <row r="8" spans="3:25" ht="16.5" thickBot="1" x14ac:dyDescent="0.3">
      <c r="C8" s="17" t="s">
        <v>470</v>
      </c>
      <c r="D8" s="570"/>
      <c r="E8" s="571">
        <f>'GLOBAL INPUTS'!F58</f>
        <v>0</v>
      </c>
      <c r="F8" s="1442"/>
      <c r="G8" s="180"/>
      <c r="H8" s="180"/>
      <c r="I8" s="180"/>
      <c r="J8" s="577" t="s">
        <v>8</v>
      </c>
      <c r="K8" s="18" t="s">
        <v>9</v>
      </c>
      <c r="L8" s="18" t="s">
        <v>10</v>
      </c>
      <c r="M8" s="578" t="s">
        <v>11</v>
      </c>
      <c r="N8" s="579" t="s">
        <v>9</v>
      </c>
      <c r="O8" s="18" t="s">
        <v>10</v>
      </c>
      <c r="P8" s="578" t="s">
        <v>11</v>
      </c>
      <c r="Q8" s="579" t="s">
        <v>9</v>
      </c>
      <c r="R8" s="18" t="s">
        <v>10</v>
      </c>
      <c r="S8" s="578" t="s">
        <v>11</v>
      </c>
      <c r="T8" s="579" t="s">
        <v>9</v>
      </c>
      <c r="U8" s="18" t="s">
        <v>10</v>
      </c>
      <c r="V8" s="578" t="s">
        <v>11</v>
      </c>
      <c r="X8" s="1"/>
      <c r="Y8" s="7"/>
    </row>
    <row r="9" spans="3:25" ht="16.5" thickBot="1" x14ac:dyDescent="0.3">
      <c r="C9" s="17" t="s">
        <v>1002</v>
      </c>
      <c r="D9" s="570"/>
      <c r="E9" s="571">
        <f>'GLOBAL INPUTS'!F59</f>
        <v>0</v>
      </c>
      <c r="F9" s="1442" t="s">
        <v>2</v>
      </c>
      <c r="G9" s="180"/>
      <c r="H9" s="180"/>
      <c r="I9" s="180"/>
      <c r="J9" s="587" t="s">
        <v>41</v>
      </c>
      <c r="K9" s="743"/>
      <c r="L9" s="744">
        <f>E6</f>
        <v>0</v>
      </c>
      <c r="M9" s="745"/>
      <c r="N9" s="746"/>
      <c r="O9" s="744" t="str">
        <f>IF($E$6="SB","WB",IF($E$6="NB","EB",IF($E$6="EB","SB","NB")))</f>
        <v>NB</v>
      </c>
      <c r="P9" s="745"/>
      <c r="Q9" s="746"/>
      <c r="R9" s="744" t="str">
        <f>IF($E$6="SB","NB",IF($E$6="NB","SB",IF($E$6="EB","WB","EB")))</f>
        <v>EB</v>
      </c>
      <c r="S9" s="745"/>
      <c r="T9" s="746"/>
      <c r="U9" s="744" t="str">
        <f>IF(O9="SB","NB",IF(O9="NB","SB",IF(O9="EB","WB","EB")))</f>
        <v>SB</v>
      </c>
      <c r="V9" s="747"/>
      <c r="X9" s="1"/>
      <c r="Y9" s="7"/>
    </row>
    <row r="10" spans="3:25" ht="16.5" thickBot="1" x14ac:dyDescent="0.3">
      <c r="C10" s="17" t="s">
        <v>1315</v>
      </c>
      <c r="D10" s="570"/>
      <c r="E10" s="571">
        <f>'GLOBAL INPUTS'!F60</f>
        <v>0</v>
      </c>
      <c r="F10" s="1443" t="s">
        <v>3</v>
      </c>
      <c r="G10" s="180"/>
      <c r="H10" s="180"/>
      <c r="I10" s="180"/>
      <c r="J10" s="748" t="s">
        <v>1090</v>
      </c>
      <c r="K10" s="588">
        <f>'GLOBAL INPUTS'!S56</f>
        <v>0</v>
      </c>
      <c r="L10" s="588">
        <f>'GLOBAL INPUTS'!S57</f>
        <v>0</v>
      </c>
      <c r="M10" s="588">
        <f>'GLOBAL INPUTS'!S58</f>
        <v>0</v>
      </c>
      <c r="N10" s="588">
        <f>'GLOBAL INPUTS'!S59</f>
        <v>0</v>
      </c>
      <c r="O10" s="588">
        <f>'GLOBAL INPUTS'!S60</f>
        <v>0</v>
      </c>
      <c r="P10" s="588">
        <f>'GLOBAL INPUTS'!S61</f>
        <v>0</v>
      </c>
      <c r="Q10" s="588">
        <f>'GLOBAL INPUTS'!S62</f>
        <v>0</v>
      </c>
      <c r="R10" s="588">
        <f>'GLOBAL INPUTS'!S63</f>
        <v>0</v>
      </c>
      <c r="S10" s="588">
        <f>'GLOBAL INPUTS'!S64</f>
        <v>0</v>
      </c>
      <c r="T10" s="588">
        <f>'GLOBAL INPUTS'!S65</f>
        <v>0</v>
      </c>
      <c r="U10" s="588">
        <f>'GLOBAL INPUTS'!S66</f>
        <v>0</v>
      </c>
      <c r="V10" s="852">
        <f>'GLOBAL INPUTS'!S67</f>
        <v>0</v>
      </c>
      <c r="X10" s="1"/>
      <c r="Y10" s="7"/>
    </row>
    <row r="11" spans="3:25" ht="16.5" thickBot="1" x14ac:dyDescent="0.3">
      <c r="C11" s="591" t="s">
        <v>1316</v>
      </c>
      <c r="D11" s="578"/>
      <c r="E11" s="571">
        <f>'GLOBAL INPUTS'!F60</f>
        <v>0</v>
      </c>
      <c r="F11" s="1442" t="s">
        <v>3</v>
      </c>
      <c r="G11" s="180"/>
      <c r="H11" s="180"/>
      <c r="I11" s="180"/>
      <c r="J11" s="587" t="s">
        <v>91</v>
      </c>
      <c r="K11" s="749">
        <f t="shared" ref="K11:V11" si="0">K10*$E$17</f>
        <v>0</v>
      </c>
      <c r="L11" s="1345">
        <f t="shared" si="0"/>
        <v>0</v>
      </c>
      <c r="M11" s="1345">
        <f t="shared" si="0"/>
        <v>0</v>
      </c>
      <c r="N11" s="1345">
        <f t="shared" si="0"/>
        <v>0</v>
      </c>
      <c r="O11" s="1345">
        <f t="shared" si="0"/>
        <v>0</v>
      </c>
      <c r="P11" s="1345">
        <f t="shared" si="0"/>
        <v>0</v>
      </c>
      <c r="Q11" s="1345">
        <f t="shared" si="0"/>
        <v>0</v>
      </c>
      <c r="R11" s="1345">
        <f t="shared" si="0"/>
        <v>0</v>
      </c>
      <c r="S11" s="1345">
        <f t="shared" si="0"/>
        <v>0</v>
      </c>
      <c r="T11" s="1345">
        <f t="shared" si="0"/>
        <v>0</v>
      </c>
      <c r="U11" s="1345">
        <f t="shared" si="0"/>
        <v>0</v>
      </c>
      <c r="V11" s="1346">
        <f t="shared" si="0"/>
        <v>0</v>
      </c>
      <c r="X11" s="1"/>
      <c r="Y11" s="7"/>
    </row>
    <row r="12" spans="3:25" ht="15.75" x14ac:dyDescent="0.25">
      <c r="C12" s="17" t="s">
        <v>1049</v>
      </c>
      <c r="D12" s="570"/>
      <c r="E12" s="571">
        <f>'GLOBAL INPUTS'!F63</f>
        <v>0</v>
      </c>
      <c r="F12" s="1442" t="s">
        <v>708</v>
      </c>
      <c r="G12" s="180"/>
      <c r="H12" s="180"/>
      <c r="I12" s="180"/>
      <c r="J12" s="750" t="s">
        <v>31</v>
      </c>
      <c r="K12" s="329" t="e">
        <f t="shared" ref="K12:V12" si="1">ROUND(K11/$E$8,0)</f>
        <v>#DIV/0!</v>
      </c>
      <c r="L12" s="595" t="e">
        <f t="shared" si="1"/>
        <v>#DIV/0!</v>
      </c>
      <c r="M12" s="595" t="e">
        <f t="shared" si="1"/>
        <v>#DIV/0!</v>
      </c>
      <c r="N12" s="595" t="e">
        <f t="shared" si="1"/>
        <v>#DIV/0!</v>
      </c>
      <c r="O12" s="595" t="e">
        <f t="shared" si="1"/>
        <v>#DIV/0!</v>
      </c>
      <c r="P12" s="595" t="e">
        <f t="shared" si="1"/>
        <v>#DIV/0!</v>
      </c>
      <c r="Q12" s="595" t="e">
        <f t="shared" si="1"/>
        <v>#DIV/0!</v>
      </c>
      <c r="R12" s="595" t="e">
        <f t="shared" si="1"/>
        <v>#DIV/0!</v>
      </c>
      <c r="S12" s="595" t="e">
        <f t="shared" si="1"/>
        <v>#DIV/0!</v>
      </c>
      <c r="T12" s="595" t="e">
        <f t="shared" si="1"/>
        <v>#DIV/0!</v>
      </c>
      <c r="U12" s="595" t="e">
        <f t="shared" si="1"/>
        <v>#DIV/0!</v>
      </c>
      <c r="V12" s="595" t="e">
        <f t="shared" si="1"/>
        <v>#DIV/0!</v>
      </c>
      <c r="X12" s="1"/>
      <c r="Y12" s="7"/>
    </row>
    <row r="13" spans="3:25" ht="16.5" thickBot="1" x14ac:dyDescent="0.3">
      <c r="C13" s="17" t="s">
        <v>1050</v>
      </c>
      <c r="D13" s="570"/>
      <c r="E13" s="571">
        <f>'GLOBAL INPUTS'!F64</f>
        <v>0</v>
      </c>
      <c r="F13" s="1442" t="s">
        <v>708</v>
      </c>
      <c r="G13" s="1850"/>
      <c r="H13" s="1850"/>
      <c r="I13" s="180"/>
      <c r="J13" s="751" t="s">
        <v>57</v>
      </c>
      <c r="K13" s="752" t="e">
        <f t="shared" ref="K13:V13" si="2">ROUND(K12*(1+$E$9/100),0)</f>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V13" s="753" t="e">
        <f t="shared" si="2"/>
        <v>#DIV/0!</v>
      </c>
      <c r="X13" s="1"/>
      <c r="Y13" s="7"/>
    </row>
    <row r="14" spans="3:25" ht="16.5" thickBot="1" x14ac:dyDescent="0.3">
      <c r="C14" s="17" t="s">
        <v>61</v>
      </c>
      <c r="D14" s="570"/>
      <c r="E14" s="571">
        <f>'GLOBAL INPUTS'!F65</f>
        <v>0</v>
      </c>
      <c r="F14" s="1442" t="s">
        <v>1006</v>
      </c>
      <c r="G14" s="937"/>
      <c r="H14" s="180"/>
      <c r="I14" s="180"/>
      <c r="J14" s="754" t="s">
        <v>1065</v>
      </c>
      <c r="K14" s="755" t="e">
        <f>N80+K85+O82</f>
        <v>#N/A</v>
      </c>
      <c r="L14" s="755" t="e">
        <f>N80</f>
        <v>#N/A</v>
      </c>
      <c r="M14" s="756" t="e">
        <f>Q85</f>
        <v>#DIV/0!</v>
      </c>
      <c r="N14" s="757" t="e">
        <f>N84</f>
        <v>#DIV/0!</v>
      </c>
      <c r="O14" s="755" t="e">
        <f>N82</f>
        <v>#DIV/0!</v>
      </c>
      <c r="P14" s="756">
        <f>N83</f>
        <v>0</v>
      </c>
      <c r="Q14" s="757" t="e">
        <f>O80+Q85+N82</f>
        <v>#N/A</v>
      </c>
      <c r="R14" s="755" t="e">
        <f>O80</f>
        <v>#N/A</v>
      </c>
      <c r="S14" s="756" t="e">
        <f>0.5*O81+0.5*K85</f>
        <v>#DIV/0!</v>
      </c>
      <c r="T14" s="757" t="e">
        <f>O84</f>
        <v>#DIV/0!</v>
      </c>
      <c r="U14" s="755" t="e">
        <f>O82</f>
        <v>#DIV/0!</v>
      </c>
      <c r="V14" s="756">
        <f>O83</f>
        <v>0</v>
      </c>
      <c r="X14" s="1"/>
      <c r="Y14" s="1"/>
    </row>
    <row r="15" spans="3:25" ht="16.5" thickBot="1" x14ac:dyDescent="0.3">
      <c r="C15" s="17" t="s">
        <v>1074</v>
      </c>
      <c r="D15" s="570"/>
      <c r="E15" s="571">
        <f>'GLOBAL INPUTS'!F66</f>
        <v>0</v>
      </c>
      <c r="F15" s="1444"/>
      <c r="G15" s="180"/>
      <c r="H15" s="180"/>
      <c r="I15" s="180"/>
      <c r="J15" s="754" t="s">
        <v>1064</v>
      </c>
      <c r="K15" s="322" t="e">
        <f>(E35+2*E10)/(1.47*E7)</f>
        <v>#DIV/0!</v>
      </c>
      <c r="L15" s="322"/>
      <c r="M15" s="604"/>
      <c r="N15" s="322"/>
      <c r="O15" s="322"/>
      <c r="P15" s="604"/>
      <c r="Q15" s="322" t="e">
        <f>(E35+2*E11)/(1.47*E7)</f>
        <v>#DIV/0!</v>
      </c>
      <c r="R15" s="322"/>
      <c r="S15" s="604"/>
      <c r="T15" s="322"/>
      <c r="U15" s="322"/>
      <c r="V15" s="604"/>
      <c r="X15" s="1"/>
      <c r="Y15" s="1"/>
    </row>
    <row r="16" spans="3:25" ht="15.75" x14ac:dyDescent="0.25">
      <c r="C16" s="312" t="str">
        <f>'GLOBAL INPUTS'!D67</f>
        <v xml:space="preserve">Coordination arrival type on major road (1=poor; 6=outstanding) </v>
      </c>
      <c r="D16" s="570"/>
      <c r="E16" s="1321">
        <f>'GLOBAL INPUTS'!F67</f>
        <v>0</v>
      </c>
      <c r="F16" s="1445"/>
      <c r="G16" s="180"/>
      <c r="H16" s="180"/>
      <c r="I16" s="180"/>
      <c r="J16" s="754" t="s">
        <v>1063</v>
      </c>
      <c r="K16" s="760" t="e">
        <f t="shared" ref="K16:V16" si="3">K14+K15</f>
        <v>#N/A</v>
      </c>
      <c r="L16" s="760" t="e">
        <f t="shared" si="3"/>
        <v>#N/A</v>
      </c>
      <c r="M16" s="761" t="e">
        <f t="shared" si="3"/>
        <v>#DIV/0!</v>
      </c>
      <c r="N16" s="762" t="e">
        <f t="shared" si="3"/>
        <v>#DIV/0!</v>
      </c>
      <c r="O16" s="760" t="e">
        <f t="shared" si="3"/>
        <v>#DIV/0!</v>
      </c>
      <c r="P16" s="761">
        <f t="shared" si="3"/>
        <v>0</v>
      </c>
      <c r="Q16" s="762" t="e">
        <f t="shared" si="3"/>
        <v>#N/A</v>
      </c>
      <c r="R16" s="760" t="e">
        <f t="shared" si="3"/>
        <v>#N/A</v>
      </c>
      <c r="S16" s="761" t="e">
        <f t="shared" si="3"/>
        <v>#DIV/0!</v>
      </c>
      <c r="T16" s="762" t="e">
        <f>T14+T15</f>
        <v>#DIV/0!</v>
      </c>
      <c r="U16" s="760" t="e">
        <f t="shared" si="3"/>
        <v>#DIV/0!</v>
      </c>
      <c r="V16" s="761">
        <f t="shared" si="3"/>
        <v>0</v>
      </c>
      <c r="X16" s="1"/>
      <c r="Y16" s="2"/>
    </row>
    <row r="17" spans="3:25" ht="16.5" thickBot="1" x14ac:dyDescent="0.3">
      <c r="C17" s="19" t="s">
        <v>1051</v>
      </c>
      <c r="D17" s="666"/>
      <c r="E17" s="765">
        <f>'GLOBAL INPUTS'!F68</f>
        <v>0</v>
      </c>
      <c r="J17" s="754" t="s">
        <v>1077</v>
      </c>
      <c r="K17" s="203"/>
      <c r="L17" s="610" t="e">
        <f>SUMPRODUCT(K13:M13,K16:M16)/SUM(K13:M13)</f>
        <v>#DIV/0!</v>
      </c>
      <c r="M17" s="611"/>
      <c r="N17" s="612"/>
      <c r="O17" s="610" t="e">
        <f>SUMPRODUCT(N13:P13,N16:P16)/SUM(N13:P13)</f>
        <v>#DIV/0!</v>
      </c>
      <c r="P17" s="611"/>
      <c r="Q17" s="612"/>
      <c r="R17" s="610" t="e">
        <f>SUMPRODUCT(Q13:S13,Q16:S16)/SUM(Q13:S13)</f>
        <v>#DIV/0!</v>
      </c>
      <c r="S17" s="611"/>
      <c r="T17" s="612"/>
      <c r="U17" s="610" t="e">
        <f>SUMPRODUCT(T13:V13,T16:V16)/SUM(T13:V13)</f>
        <v>#DIV/0!</v>
      </c>
      <c r="V17" s="613"/>
      <c r="X17" s="1"/>
      <c r="Y17" s="1"/>
    </row>
    <row r="18" spans="3:25" ht="15.75" thickBot="1" x14ac:dyDescent="0.3">
      <c r="J18" s="763" t="s">
        <v>95</v>
      </c>
      <c r="K18" s="764" t="e">
        <f>VLOOKUP(K16,$G$22:$H$27,2,TRUE)</f>
        <v>#N/A</v>
      </c>
      <c r="L18" s="764" t="e">
        <f t="shared" ref="L18:V18" si="4">VLOOKUP(L16,$G$22:$H$27,2,TRUE)</f>
        <v>#N/A</v>
      </c>
      <c r="M18" s="764" t="e">
        <f t="shared" si="4"/>
        <v>#DIV/0!</v>
      </c>
      <c r="N18" s="764" t="e">
        <f t="shared" si="4"/>
        <v>#DIV/0!</v>
      </c>
      <c r="O18" s="764" t="e">
        <f t="shared" si="4"/>
        <v>#DIV/0!</v>
      </c>
      <c r="P18" s="764" t="str">
        <f t="shared" si="4"/>
        <v>A</v>
      </c>
      <c r="Q18" s="764" t="e">
        <f t="shared" si="4"/>
        <v>#N/A</v>
      </c>
      <c r="R18" s="764" t="e">
        <f t="shared" si="4"/>
        <v>#N/A</v>
      </c>
      <c r="S18" s="764" t="e">
        <f t="shared" si="4"/>
        <v>#DIV/0!</v>
      </c>
      <c r="T18" s="764" t="e">
        <f t="shared" si="4"/>
        <v>#DIV/0!</v>
      </c>
      <c r="U18" s="764" t="e">
        <f t="shared" si="4"/>
        <v>#DIV/0!</v>
      </c>
      <c r="V18" s="764" t="str">
        <f t="shared" si="4"/>
        <v>A</v>
      </c>
      <c r="X18" s="1"/>
      <c r="Y18" s="1"/>
    </row>
    <row r="19" spans="3:25" ht="21.75" thickBot="1" x14ac:dyDescent="0.4">
      <c r="K19" s="1446" t="s">
        <v>571</v>
      </c>
      <c r="L19" s="768"/>
      <c r="M19" s="769"/>
      <c r="N19" s="1134" t="e">
        <f>SUMPRODUCT(K14:V14,K13:V13)/SUM(K13:V13)</f>
        <v>#N/A</v>
      </c>
      <c r="O19" s="1135" t="e">
        <f>VLOOKUP(N19,G22:H27,2,TRUE)</f>
        <v>#N/A</v>
      </c>
      <c r="P19" s="616"/>
      <c r="Q19" s="1265" t="s">
        <v>40</v>
      </c>
      <c r="R19" s="768"/>
      <c r="S19" s="768"/>
      <c r="T19" s="769"/>
      <c r="U19" s="621" t="e">
        <f>SUMPRODUCT(K13:V13,K16:V16)/SUM(K13:V13)</f>
        <v>#DIV/0!</v>
      </c>
      <c r="V19" s="622" t="e">
        <f>VLOOKUP(U19,G22:H27,2,TRUE)</f>
        <v>#DIV/0!</v>
      </c>
      <c r="X19" s="1"/>
      <c r="Y19" s="1"/>
    </row>
    <row r="20" spans="3:25" ht="19.5" thickBot="1" x14ac:dyDescent="0.35">
      <c r="G20" s="1706" t="s">
        <v>93</v>
      </c>
      <c r="H20" s="1707"/>
      <c r="K20" s="195"/>
      <c r="L20" s="195"/>
      <c r="M20" s="195"/>
      <c r="N20" s="195"/>
      <c r="P20" s="195"/>
      <c r="Q20" s="1268" t="s">
        <v>1333</v>
      </c>
      <c r="R20" s="263"/>
      <c r="S20" s="263"/>
      <c r="T20" s="263"/>
      <c r="U20" s="264"/>
      <c r="V20" s="773" t="e">
        <f>IF(MAX(N91:O92)&gt;E11,"YES","NO")</f>
        <v>#DIV/0!</v>
      </c>
    </row>
    <row r="21" spans="3:25" ht="19.5" thickBot="1" x14ac:dyDescent="0.35">
      <c r="G21" s="1817" t="s">
        <v>94</v>
      </c>
      <c r="H21" s="1818"/>
      <c r="K21" s="27"/>
      <c r="L21" s="27"/>
      <c r="M21" s="27"/>
      <c r="N21" s="27"/>
      <c r="O21" s="195"/>
      <c r="P21" s="195"/>
      <c r="Q21" s="1268" t="s">
        <v>1334</v>
      </c>
      <c r="R21" s="263"/>
      <c r="S21" s="263"/>
      <c r="T21" s="263"/>
      <c r="U21" s="264"/>
      <c r="V21" s="773" t="e">
        <f>IF(MAX(K94,Q94)&gt;E35,"YES","NO")</f>
        <v>#DIV/0!</v>
      </c>
    </row>
    <row r="22" spans="3:25" x14ac:dyDescent="0.25">
      <c r="G22" s="911">
        <v>0</v>
      </c>
      <c r="H22" s="759" t="s">
        <v>16</v>
      </c>
      <c r="J22" s="258"/>
      <c r="K22" s="18"/>
      <c r="L22" s="18"/>
      <c r="M22" s="18"/>
      <c r="N22" s="18"/>
      <c r="T22" s="15"/>
      <c r="U22" s="15"/>
    </row>
    <row r="23" spans="3:25" x14ac:dyDescent="0.25">
      <c r="G23" s="911">
        <v>10</v>
      </c>
      <c r="H23" s="759" t="s">
        <v>17</v>
      </c>
      <c r="J23" s="276" t="s">
        <v>1380</v>
      </c>
      <c r="K23" s="18"/>
      <c r="L23" s="18"/>
      <c r="M23" s="18"/>
      <c r="N23" s="18"/>
      <c r="O23" s="18"/>
      <c r="P23" s="18"/>
      <c r="Q23" s="18"/>
      <c r="R23" s="18"/>
      <c r="S23" s="18"/>
      <c r="T23" s="18"/>
      <c r="U23" s="18"/>
      <c r="V23" s="18"/>
    </row>
    <row r="24" spans="3:25" x14ac:dyDescent="0.25">
      <c r="G24" s="911">
        <v>20</v>
      </c>
      <c r="H24" s="759" t="s">
        <v>18</v>
      </c>
      <c r="J24" s="15" t="s">
        <v>1236</v>
      </c>
      <c r="K24" s="18"/>
      <c r="L24" s="18"/>
      <c r="M24" s="18"/>
      <c r="N24" s="18"/>
    </row>
    <row r="25" spans="3:25" ht="19.5" thickBot="1" x14ac:dyDescent="0.35">
      <c r="G25" s="911">
        <v>35</v>
      </c>
      <c r="H25" s="759" t="s">
        <v>19</v>
      </c>
      <c r="J25" s="258"/>
      <c r="K25" s="18"/>
      <c r="L25" s="18"/>
      <c r="M25" s="158"/>
      <c r="N25" s="158"/>
      <c r="O25" s="195"/>
    </row>
    <row r="26" spans="3:25" ht="21.75" thickBot="1" x14ac:dyDescent="0.4">
      <c r="G26" s="911">
        <v>55</v>
      </c>
      <c r="H26" s="759" t="s">
        <v>20</v>
      </c>
      <c r="L26" s="1769" t="s">
        <v>325</v>
      </c>
      <c r="M26" s="1770"/>
      <c r="N26" s="1770"/>
      <c r="O26" s="1770"/>
      <c r="P26" s="940">
        <f>E14*0.95</f>
        <v>0</v>
      </c>
    </row>
    <row r="27" spans="3:25" ht="15.75" thickBot="1" x14ac:dyDescent="0.3">
      <c r="G27" s="911">
        <v>80</v>
      </c>
      <c r="H27" s="759" t="s">
        <v>21</v>
      </c>
    </row>
    <row r="28" spans="3:25" ht="15.75" x14ac:dyDescent="0.25">
      <c r="J28" s="1700" t="s">
        <v>955</v>
      </c>
      <c r="K28" s="1688" t="s">
        <v>958</v>
      </c>
      <c r="L28" s="1689"/>
      <c r="M28" s="15"/>
      <c r="N28" s="1713" t="s">
        <v>100</v>
      </c>
      <c r="O28" s="1714"/>
      <c r="P28" s="15"/>
      <c r="Q28" s="1688" t="s">
        <v>959</v>
      </c>
      <c r="R28" s="1689"/>
    </row>
    <row r="29" spans="3:25" ht="15.75" x14ac:dyDescent="0.25">
      <c r="J29" s="1701"/>
      <c r="K29" s="1775"/>
      <c r="L29" s="1719"/>
      <c r="N29" s="1730"/>
      <c r="O29" s="1810"/>
      <c r="P29" s="774"/>
      <c r="Q29" s="1775"/>
      <c r="R29" s="1719"/>
    </row>
    <row r="30" spans="3:25" ht="16.5" thickBot="1" x14ac:dyDescent="0.3">
      <c r="J30" s="1701"/>
      <c r="K30" s="1364" t="s">
        <v>886</v>
      </c>
      <c r="L30" s="1447"/>
      <c r="M30" s="368"/>
      <c r="N30" s="1364" t="s">
        <v>1343</v>
      </c>
      <c r="O30" s="1365" t="s">
        <v>1344</v>
      </c>
      <c r="P30" s="368"/>
      <c r="Q30" s="1364" t="s">
        <v>887</v>
      </c>
      <c r="R30" s="1443"/>
    </row>
    <row r="31" spans="3:25" ht="15.75" x14ac:dyDescent="0.25">
      <c r="J31" s="560" t="s">
        <v>403</v>
      </c>
      <c r="K31" s="1366"/>
      <c r="L31" s="658"/>
      <c r="M31" s="1142" t="str">
        <f>CONCATENATE($L$9,"T")</f>
        <v>0T</v>
      </c>
      <c r="N31" s="657"/>
      <c r="O31" s="657"/>
      <c r="P31" s="777" t="str">
        <f>CONCATENATE($R$9,"T")</f>
        <v>EBT</v>
      </c>
      <c r="Q31" s="1366"/>
      <c r="R31" s="561"/>
    </row>
    <row r="32" spans="3:25" ht="15.75" x14ac:dyDescent="0.25">
      <c r="J32" s="17" t="s">
        <v>404</v>
      </c>
      <c r="K32" s="819"/>
      <c r="L32" s="18"/>
      <c r="M32" s="471" t="str">
        <f>CONCATENATE($L$9,"R")</f>
        <v>0R</v>
      </c>
      <c r="N32" s="660"/>
      <c r="O32" s="660"/>
      <c r="P32" s="276" t="str">
        <f>CONCATENATE($R$9,"R")</f>
        <v>EBR</v>
      </c>
      <c r="Q32" s="819"/>
      <c r="R32" s="570"/>
    </row>
    <row r="33" spans="2:30" ht="15.75" x14ac:dyDescent="0.25">
      <c r="J33" s="17" t="s">
        <v>405</v>
      </c>
      <c r="K33" s="1208"/>
      <c r="L33" s="18"/>
      <c r="M33" s="471" t="str">
        <f>CONCATENATE($O$9,"T")</f>
        <v>NBT</v>
      </c>
      <c r="N33" s="660"/>
      <c r="O33" s="660"/>
      <c r="P33" s="276" t="str">
        <f>CONCATENATE($U$9,"T")</f>
        <v>SBT</v>
      </c>
      <c r="Q33" s="1208"/>
      <c r="R33" s="570"/>
    </row>
    <row r="34" spans="2:30" ht="16.5" thickBot="1" x14ac:dyDescent="0.3">
      <c r="J34" s="17" t="s">
        <v>406</v>
      </c>
      <c r="K34" s="819"/>
      <c r="M34" s="471" t="str">
        <f>CONCATENATE($O$9,"R")</f>
        <v>NBR</v>
      </c>
      <c r="N34" s="660"/>
      <c r="O34" s="660"/>
      <c r="P34" s="276" t="str">
        <f>CONCATENATE($U$9,"R")</f>
        <v>SBR</v>
      </c>
      <c r="Q34" s="819"/>
      <c r="R34" s="570"/>
      <c r="S34" s="15"/>
      <c r="T34" s="31"/>
    </row>
    <row r="35" spans="2:30" ht="16.5" thickBot="1" x14ac:dyDescent="0.3">
      <c r="D35" s="461" t="s">
        <v>1347</v>
      </c>
      <c r="E35" s="1448">
        <f>ROUND(1.1*E11*22/28/5,0)*5</f>
        <v>0</v>
      </c>
      <c r="J35" s="17" t="s">
        <v>407</v>
      </c>
      <c r="K35" s="819"/>
      <c r="M35" s="471" t="str">
        <f>CONCATENATE($O$9,"L")</f>
        <v>NBL</v>
      </c>
      <c r="N35" s="660"/>
      <c r="O35" s="660"/>
      <c r="P35" s="276" t="str">
        <f>CONCATENATE($U$9,"L")</f>
        <v>SBL</v>
      </c>
      <c r="Q35" s="819"/>
      <c r="R35" s="570"/>
    </row>
    <row r="36" spans="2:30" ht="18" customHeight="1" thickBot="1" x14ac:dyDescent="0.3">
      <c r="C36" s="720"/>
      <c r="J36" s="19" t="s">
        <v>1336</v>
      </c>
      <c r="K36" s="664"/>
      <c r="L36" s="1150" t="str">
        <f>CONCATENATE($U$9,"T")</f>
        <v>SBT</v>
      </c>
      <c r="M36" s="248"/>
      <c r="N36" s="792"/>
      <c r="O36" s="792"/>
      <c r="P36" s="248"/>
      <c r="Q36" s="664"/>
      <c r="R36" s="665" t="str">
        <f>CONCATENATE($O$9,"T")</f>
        <v>NBT</v>
      </c>
    </row>
    <row r="37" spans="2:30" ht="19.5" thickBot="1" x14ac:dyDescent="0.35">
      <c r="B37" s="27"/>
      <c r="C37" s="195"/>
      <c r="D37" s="27"/>
      <c r="E37" s="18"/>
      <c r="F37" s="18"/>
      <c r="G37" s="18"/>
      <c r="H37" s="18"/>
      <c r="J37" s="461"/>
      <c r="K37" s="227"/>
      <c r="L37" s="1367" t="s">
        <v>572</v>
      </c>
      <c r="M37" s="1367"/>
      <c r="N37" s="1367"/>
      <c r="O37" s="1367"/>
      <c r="P37" s="227"/>
      <c r="Q37" s="227"/>
      <c r="R37" s="526"/>
    </row>
    <row r="38" spans="2:30" ht="18.75" x14ac:dyDescent="0.3">
      <c r="B38" s="27"/>
      <c r="C38" s="195"/>
      <c r="D38" s="27"/>
      <c r="E38" s="18"/>
      <c r="F38" s="18"/>
      <c r="G38" s="18"/>
      <c r="H38" s="18"/>
      <c r="J38" s="560" t="s">
        <v>573</v>
      </c>
      <c r="K38" s="731" t="e">
        <f>K13*K47</f>
        <v>#DIV/0!</v>
      </c>
      <c r="L38" s="658"/>
      <c r="M38" s="658"/>
      <c r="N38" s="887"/>
      <c r="O38" s="887"/>
      <c r="P38" s="658"/>
      <c r="Q38" s="731" t="e">
        <f>Q13*Q47</f>
        <v>#DIV/0!</v>
      </c>
      <c r="R38" s="678"/>
    </row>
    <row r="39" spans="2:30" ht="18.75" x14ac:dyDescent="0.3">
      <c r="B39" s="27"/>
      <c r="C39" s="195"/>
      <c r="D39" s="27"/>
      <c r="E39" s="18"/>
      <c r="F39" s="18"/>
      <c r="G39" s="18"/>
      <c r="H39" s="158"/>
      <c r="J39" s="1156" t="s">
        <v>412</v>
      </c>
      <c r="K39" s="342" t="e">
        <f>SUM(T13:V13)</f>
        <v>#DIV/0!</v>
      </c>
      <c r="L39" s="1177"/>
      <c r="M39" s="1851" t="s">
        <v>574</v>
      </c>
      <c r="N39" s="1163"/>
      <c r="O39" s="1202"/>
      <c r="P39" s="1177"/>
      <c r="Q39" s="1177" t="e">
        <f>SUM(N13:P13)</f>
        <v>#DIV/0!</v>
      </c>
      <c r="R39" s="1157"/>
    </row>
    <row r="40" spans="2:30" x14ac:dyDescent="0.25">
      <c r="B40" s="1158"/>
      <c r="C40" s="1159"/>
      <c r="D40" s="1160"/>
      <c r="E40" s="1161"/>
      <c r="F40" s="1161"/>
      <c r="G40" s="1161"/>
      <c r="H40" s="1161"/>
      <c r="J40" s="17" t="s">
        <v>414</v>
      </c>
      <c r="K40" s="20" t="e">
        <f>K39*EXP(-K39/3600*4.87)/(1-EXP(-K39/3600*2.53))</f>
        <v>#DIV/0!</v>
      </c>
      <c r="L40" s="18"/>
      <c r="M40" s="1852"/>
      <c r="N40" s="20" t="e">
        <f>(O43+O44)*EXP(-(O43+O44)/3600*6.3)/(1-EXP(-(O43+O44)/3600*3.3))</f>
        <v>#DIV/0!</v>
      </c>
      <c r="O40" s="20" t="e">
        <f>(N43+N44)*EXP(-(N43+N44)/3600*6.6)/(1-EXP(-(N43+N44))/3600*3.3)</f>
        <v>#DIV/0!</v>
      </c>
      <c r="P40" s="18"/>
      <c r="Q40" s="20" t="e">
        <f>Q39*EXP(-Q39/3600*4.87)/(1-EXP(-Q39/3600*2.53))</f>
        <v>#DIV/0!</v>
      </c>
      <c r="R40" s="578"/>
    </row>
    <row r="41" spans="2:30" x14ac:dyDescent="0.25">
      <c r="J41" s="1156" t="s">
        <v>416</v>
      </c>
      <c r="K41" s="1202"/>
      <c r="L41" s="1177"/>
      <c r="M41" s="1177"/>
      <c r="N41" s="342" t="e">
        <f>L13+K13</f>
        <v>#DIV/0!</v>
      </c>
      <c r="O41" s="1177" t="e">
        <f>R13+Q13</f>
        <v>#DIV/0!</v>
      </c>
      <c r="P41" s="1177"/>
      <c r="Q41" s="1202"/>
      <c r="R41" s="1371"/>
    </row>
    <row r="42" spans="2:30" ht="18.75" x14ac:dyDescent="0.3">
      <c r="B42" s="27"/>
      <c r="C42" s="195"/>
      <c r="D42" s="27"/>
      <c r="E42" s="18"/>
      <c r="F42" s="18"/>
      <c r="G42" s="18"/>
      <c r="H42" s="18"/>
      <c r="J42" s="1153" t="s">
        <v>417</v>
      </c>
      <c r="K42" s="1200"/>
      <c r="L42" s="328"/>
      <c r="M42" s="328"/>
      <c r="N42" s="1154" t="e">
        <f>M13*N47</f>
        <v>#DIV/0!</v>
      </c>
      <c r="O42" s="1154" t="e">
        <f>S13*N47</f>
        <v>#DIV/0!</v>
      </c>
      <c r="P42" s="328"/>
      <c r="Q42" s="1200"/>
      <c r="R42" s="1373"/>
      <c r="V42" s="21"/>
      <c r="W42" s="22"/>
      <c r="X42" s="23"/>
      <c r="Y42" s="23"/>
      <c r="Z42" s="22"/>
      <c r="AA42" s="23"/>
      <c r="AB42" s="23"/>
      <c r="AC42" s="22"/>
      <c r="AD42" s="23"/>
    </row>
    <row r="43" spans="2:30" ht="18.75" x14ac:dyDescent="0.3">
      <c r="B43" s="27"/>
      <c r="C43" s="195"/>
      <c r="D43" s="27"/>
      <c r="E43" s="18"/>
      <c r="F43" s="18"/>
      <c r="G43" s="18"/>
      <c r="H43" s="18"/>
      <c r="J43" s="1374" t="s">
        <v>418</v>
      </c>
      <c r="K43" s="1200"/>
      <c r="L43" s="328"/>
      <c r="M43" s="328"/>
      <c r="N43" s="1154" t="e">
        <f>O13+Q13</f>
        <v>#DIV/0!</v>
      </c>
      <c r="O43" s="328" t="e">
        <f>U13+K13</f>
        <v>#DIV/0!</v>
      </c>
      <c r="P43" s="328"/>
      <c r="Q43" s="1200"/>
      <c r="R43" s="1373"/>
      <c r="V43" s="21"/>
      <c r="W43" s="22"/>
      <c r="X43" s="23"/>
      <c r="Y43" s="23"/>
      <c r="Z43" s="22"/>
      <c r="AA43" s="23"/>
      <c r="AB43" s="23"/>
      <c r="AC43" s="22"/>
      <c r="AD43" s="23"/>
    </row>
    <row r="44" spans="2:30" ht="18.75" x14ac:dyDescent="0.3">
      <c r="B44" s="27"/>
      <c r="C44" s="195"/>
      <c r="D44" s="27"/>
      <c r="E44" s="18"/>
      <c r="F44" s="18"/>
      <c r="G44" s="18"/>
      <c r="H44" s="18"/>
      <c r="J44" s="1153" t="s">
        <v>1335</v>
      </c>
      <c r="K44" s="1200"/>
      <c r="L44" s="328"/>
      <c r="M44" s="328"/>
      <c r="N44" s="1154" t="e">
        <f>P13*N47</f>
        <v>#DIV/0!</v>
      </c>
      <c r="O44" s="328" t="e">
        <f>V13*N47</f>
        <v>#DIV/0!</v>
      </c>
      <c r="P44" s="328"/>
      <c r="Q44" s="1200"/>
      <c r="R44" s="1373"/>
      <c r="V44" s="21"/>
      <c r="W44" s="22"/>
      <c r="X44" s="23"/>
      <c r="Y44" s="23"/>
      <c r="Z44" s="22"/>
      <c r="AA44" s="23"/>
      <c r="AB44" s="23"/>
      <c r="AC44" s="22"/>
      <c r="AD44" s="23"/>
    </row>
    <row r="45" spans="2:30" ht="19.5" thickBot="1" x14ac:dyDescent="0.35">
      <c r="B45" s="27"/>
      <c r="C45" s="195"/>
      <c r="D45" s="27"/>
      <c r="E45" s="18"/>
      <c r="F45" s="18"/>
      <c r="G45" s="18"/>
      <c r="H45" s="18"/>
      <c r="J45" s="19" t="s">
        <v>419</v>
      </c>
      <c r="K45" s="1375"/>
      <c r="L45" s="1376"/>
      <c r="M45" s="1376"/>
      <c r="N45" s="1377" t="e">
        <f>N13*N48</f>
        <v>#DIV/0!</v>
      </c>
      <c r="O45" s="1376" t="e">
        <f>T13*N48</f>
        <v>#DIV/0!</v>
      </c>
      <c r="P45" s="1376"/>
      <c r="Q45" s="1375"/>
      <c r="R45" s="1378"/>
      <c r="V45" s="21"/>
      <c r="W45" s="22"/>
      <c r="X45" s="23"/>
      <c r="Y45" s="23"/>
      <c r="Z45" s="22"/>
      <c r="AA45" s="23"/>
      <c r="AB45" s="23"/>
      <c r="AC45" s="22"/>
      <c r="AD45" s="23"/>
    </row>
    <row r="46" spans="2:30" ht="19.5" thickBot="1" x14ac:dyDescent="0.35">
      <c r="B46" s="27"/>
      <c r="C46" s="195"/>
      <c r="D46" s="27"/>
      <c r="E46" s="18"/>
      <c r="F46" s="18"/>
      <c r="G46" s="18"/>
      <c r="H46" s="158"/>
      <c r="J46" s="673"/>
      <c r="K46" s="1688" t="s">
        <v>958</v>
      </c>
      <c r="L46" s="1689"/>
      <c r="M46" s="796"/>
      <c r="N46" s="1777" t="s">
        <v>100</v>
      </c>
      <c r="O46" s="1778"/>
      <c r="P46" s="796"/>
      <c r="Q46" s="1688" t="s">
        <v>959</v>
      </c>
      <c r="R46" s="1689"/>
      <c r="T46" s="682"/>
      <c r="V46" s="802"/>
      <c r="W46" s="18"/>
      <c r="X46" s="18"/>
      <c r="Y46" s="18"/>
      <c r="Z46" s="24"/>
      <c r="AA46" s="18"/>
      <c r="AB46" s="18"/>
      <c r="AC46" s="18"/>
      <c r="AD46" s="18"/>
    </row>
    <row r="47" spans="2:30" ht="15.75" x14ac:dyDescent="0.25">
      <c r="B47" s="1158"/>
      <c r="C47" s="1159"/>
      <c r="D47" s="1160"/>
      <c r="E47" s="1161"/>
      <c r="F47" s="1161"/>
      <c r="G47" s="1161"/>
      <c r="H47" s="1161"/>
      <c r="J47" s="560" t="s">
        <v>1237</v>
      </c>
      <c r="K47" s="713">
        <v>1.18</v>
      </c>
      <c r="L47" s="713"/>
      <c r="M47" s="713"/>
      <c r="N47" s="713">
        <v>1.18</v>
      </c>
      <c r="O47" s="713"/>
      <c r="P47" s="713"/>
      <c r="Q47" s="713">
        <v>1.18</v>
      </c>
      <c r="R47" s="561"/>
      <c r="V47" s="802"/>
      <c r="W47" s="18"/>
      <c r="X47" s="18"/>
      <c r="Y47" s="18"/>
      <c r="Z47" s="24"/>
      <c r="AA47" s="18"/>
      <c r="AB47" s="18"/>
      <c r="AC47" s="18"/>
      <c r="AD47" s="18"/>
    </row>
    <row r="48" spans="2:30" ht="16.5" thickBot="1" x14ac:dyDescent="0.3">
      <c r="J48" s="19" t="s">
        <v>1238</v>
      </c>
      <c r="K48" s="718">
        <v>1.05</v>
      </c>
      <c r="L48" s="718"/>
      <c r="M48" s="718"/>
      <c r="N48" s="718">
        <v>1.05</v>
      </c>
      <c r="O48" s="718"/>
      <c r="P48" s="718"/>
      <c r="Q48" s="718">
        <v>1.05</v>
      </c>
      <c r="R48" s="666"/>
      <c r="V48" s="802"/>
      <c r="W48" s="24"/>
      <c r="X48" s="18"/>
      <c r="Y48" s="18"/>
      <c r="Z48" s="24"/>
      <c r="AA48" s="18"/>
      <c r="AB48" s="18"/>
      <c r="AC48" s="24"/>
      <c r="AD48" s="18"/>
    </row>
    <row r="49" spans="2:30" x14ac:dyDescent="0.25">
      <c r="J49" s="560" t="s">
        <v>422</v>
      </c>
      <c r="K49" s="887"/>
      <c r="L49" s="658"/>
      <c r="M49" s="658"/>
      <c r="N49" s="712" t="e">
        <f>(N41+IF(N32=0,N42,0))/N31/$P$26</f>
        <v>#DIV/0!</v>
      </c>
      <c r="O49" s="712" t="e">
        <f>(O41+IF(O32=0,O42,0))/O31/$P$26</f>
        <v>#DIV/0!</v>
      </c>
      <c r="P49" s="658"/>
      <c r="Q49" s="887"/>
      <c r="R49" s="1380"/>
      <c r="T49" s="399"/>
      <c r="V49" s="803"/>
      <c r="W49" s="25"/>
      <c r="X49" s="25"/>
      <c r="Y49" s="25"/>
      <c r="Z49" s="25"/>
      <c r="AA49" s="25"/>
      <c r="AB49" s="25"/>
      <c r="AC49" s="25"/>
      <c r="AD49" s="25"/>
    </row>
    <row r="50" spans="2:30" x14ac:dyDescent="0.25">
      <c r="J50" s="1153" t="s">
        <v>423</v>
      </c>
      <c r="K50" s="1200"/>
      <c r="L50" s="328"/>
      <c r="M50" s="328"/>
      <c r="N50" s="1181">
        <f>IF(N32=0,0,N42/N32/$P$26)</f>
        <v>0</v>
      </c>
      <c r="O50" s="1181">
        <f>IF(O32=0,0,O42/O32/$P$26)</f>
        <v>0</v>
      </c>
      <c r="P50" s="328"/>
      <c r="Q50" s="1200"/>
      <c r="R50" s="1373"/>
      <c r="V50" s="803"/>
      <c r="W50" s="26"/>
      <c r="X50" s="26"/>
      <c r="Y50" s="26"/>
      <c r="Z50" s="25"/>
      <c r="AA50" s="26"/>
      <c r="AB50" s="26"/>
      <c r="AC50" s="26"/>
      <c r="AD50" s="26"/>
    </row>
    <row r="51" spans="2:30" x14ac:dyDescent="0.25">
      <c r="J51" s="1374" t="s">
        <v>424</v>
      </c>
      <c r="K51" s="1200"/>
      <c r="L51" s="328"/>
      <c r="M51" s="328"/>
      <c r="N51" s="1181" t="e">
        <f>(N43+IF(N34=0,N44,0))/(N33*$P$26)</f>
        <v>#DIV/0!</v>
      </c>
      <c r="O51" s="1181" t="e">
        <f>(O43+IF(O34=0,O44,0))/(O33*$P$26)</f>
        <v>#DIV/0!</v>
      </c>
      <c r="P51" s="328"/>
      <c r="Q51" s="1200"/>
      <c r="R51" s="1373"/>
      <c r="T51" s="400"/>
      <c r="V51" s="803"/>
      <c r="W51" s="26"/>
      <c r="X51" s="26"/>
      <c r="Y51" s="26"/>
      <c r="Z51" s="25"/>
      <c r="AA51" s="26"/>
      <c r="AB51" s="26"/>
      <c r="AC51" s="26"/>
      <c r="AD51" s="26"/>
    </row>
    <row r="52" spans="2:30" ht="15.75" x14ac:dyDescent="0.25">
      <c r="F52" s="682"/>
      <c r="J52" s="1153" t="s">
        <v>1320</v>
      </c>
      <c r="K52" s="1200"/>
      <c r="L52" s="328"/>
      <c r="M52" s="328"/>
      <c r="N52" s="1181">
        <f>IF(N34=0,0,N44/N34/$P$26)</f>
        <v>0</v>
      </c>
      <c r="O52" s="1181">
        <f>IF(O34=0,0,O44/O34/$P$26)</f>
        <v>0</v>
      </c>
      <c r="P52" s="328"/>
      <c r="Q52" s="1200"/>
      <c r="R52" s="1373"/>
      <c r="T52" s="275"/>
      <c r="V52" s="803"/>
      <c r="W52" s="26"/>
      <c r="X52" s="26"/>
      <c r="Y52" s="26"/>
      <c r="Z52" s="25"/>
      <c r="AA52" s="26"/>
      <c r="AB52" s="26"/>
      <c r="AC52" s="26"/>
      <c r="AD52" s="26"/>
    </row>
    <row r="53" spans="2:30" ht="16.5" thickBot="1" x14ac:dyDescent="0.3">
      <c r="F53" s="682"/>
      <c r="J53" s="19" t="s">
        <v>425</v>
      </c>
      <c r="K53" s="1375"/>
      <c r="L53" s="1376"/>
      <c r="M53" s="1376"/>
      <c r="N53" s="1381" t="e">
        <f>N45/N35/$P$26</f>
        <v>#DIV/0!</v>
      </c>
      <c r="O53" s="1381" t="e">
        <f>O45/O35/$P$26</f>
        <v>#DIV/0!</v>
      </c>
      <c r="P53" s="1376"/>
      <c r="Q53" s="1375"/>
      <c r="R53" s="1378"/>
      <c r="T53" s="275"/>
      <c r="V53" s="803"/>
      <c r="W53" s="26"/>
      <c r="X53" s="26"/>
      <c r="Y53" s="26"/>
      <c r="Z53" s="25"/>
      <c r="AA53" s="26"/>
      <c r="AB53" s="26"/>
      <c r="AC53" s="26"/>
      <c r="AD53" s="26"/>
    </row>
    <row r="54" spans="2:30" ht="16.5" thickBot="1" x14ac:dyDescent="0.3">
      <c r="B54" s="400"/>
      <c r="J54" s="19"/>
      <c r="K54" s="1449"/>
      <c r="L54" s="663"/>
      <c r="M54" s="663"/>
      <c r="N54" s="27">
        <v>26</v>
      </c>
      <c r="O54" s="27">
        <v>48</v>
      </c>
      <c r="P54" s="663"/>
      <c r="Q54" s="1449"/>
      <c r="R54" s="666"/>
      <c r="S54" s="24"/>
    </row>
    <row r="55" spans="2:30" ht="19.5" thickBot="1" x14ac:dyDescent="0.35">
      <c r="G55" s="1186"/>
      <c r="H55" s="572"/>
      <c r="J55" s="806" t="s">
        <v>426</v>
      </c>
      <c r="K55" s="1382"/>
      <c r="L55" s="1188"/>
      <c r="M55" s="1188"/>
      <c r="N55" s="1811" t="e">
        <f>MAX(N49,O49)+MAX(N51,O51)+MAX(N53,O53)</f>
        <v>#DIV/0!</v>
      </c>
      <c r="O55" s="1812"/>
      <c r="P55" s="1188"/>
      <c r="Q55" s="1383"/>
      <c r="R55" s="809"/>
      <c r="S55" s="18"/>
    </row>
    <row r="56" spans="2:30" ht="16.5" thickBot="1" x14ac:dyDescent="0.3">
      <c r="G56" s="1190"/>
      <c r="H56" s="572"/>
      <c r="J56" s="1800" t="s">
        <v>575</v>
      </c>
      <c r="K56" s="1801"/>
      <c r="L56" s="1801"/>
      <c r="M56" s="1801"/>
      <c r="N56" s="1801"/>
      <c r="O56" s="1801"/>
      <c r="P56" s="1801"/>
      <c r="Q56" s="1801"/>
      <c r="R56" s="1802"/>
      <c r="S56" s="18"/>
    </row>
    <row r="57" spans="2:30" ht="19.5" thickBot="1" x14ac:dyDescent="0.35">
      <c r="J57" s="19" t="s">
        <v>180</v>
      </c>
      <c r="K57" s="663"/>
      <c r="L57" s="663"/>
      <c r="M57" s="663"/>
      <c r="N57" s="1853" t="e">
        <f>ROUND(IF(N55&gt;0.85-8.5/$E$13,$E$13,MAX($E$12,(15*0.85)/(0.85-N55)))/5,0)*5</f>
        <v>#DIV/0!</v>
      </c>
      <c r="O57" s="1853"/>
      <c r="P57" s="663"/>
      <c r="Q57" s="663"/>
      <c r="R57" s="679"/>
      <c r="S57" s="25"/>
      <c r="T57" s="399"/>
    </row>
    <row r="58" spans="2:30" ht="19.5" thickBot="1" x14ac:dyDescent="0.35">
      <c r="J58" s="815" t="s">
        <v>113</v>
      </c>
      <c r="K58" s="1278"/>
      <c r="L58" s="1278"/>
      <c r="M58" s="1278"/>
      <c r="N58" s="1854"/>
      <c r="O58" s="1855"/>
      <c r="P58" s="1278"/>
      <c r="Q58" s="1278"/>
      <c r="R58" s="561"/>
      <c r="S58" s="26"/>
      <c r="T58" s="399"/>
    </row>
    <row r="59" spans="2:30" ht="16.5" thickBot="1" x14ac:dyDescent="0.3">
      <c r="J59" s="560" t="s">
        <v>428</v>
      </c>
      <c r="K59" s="887"/>
      <c r="L59" s="658"/>
      <c r="M59" s="658"/>
      <c r="N59" s="1856"/>
      <c r="O59" s="1857"/>
      <c r="P59" s="658"/>
      <c r="Q59" s="887"/>
      <c r="R59" s="1380"/>
      <c r="S59" s="26"/>
      <c r="T59" s="400"/>
    </row>
    <row r="60" spans="2:30" ht="16.5" thickBot="1" x14ac:dyDescent="0.3">
      <c r="G60" s="692" t="s">
        <v>114</v>
      </c>
      <c r="H60" s="814"/>
      <c r="J60" s="1153" t="s">
        <v>429</v>
      </c>
      <c r="K60" s="1200"/>
      <c r="L60" s="328"/>
      <c r="M60" s="328"/>
      <c r="N60" s="1385">
        <f>N59</f>
        <v>0</v>
      </c>
      <c r="O60" s="1385">
        <f>N59</f>
        <v>0</v>
      </c>
      <c r="P60" s="328"/>
      <c r="Q60" s="1200"/>
      <c r="R60" s="1373"/>
      <c r="S60" s="25"/>
    </row>
    <row r="61" spans="2:30" ht="16.5" thickBot="1" x14ac:dyDescent="0.3">
      <c r="G61" s="695" t="s">
        <v>116</v>
      </c>
      <c r="H61" s="817"/>
      <c r="J61" s="1374" t="s">
        <v>430</v>
      </c>
      <c r="K61" s="1200"/>
      <c r="L61" s="328"/>
      <c r="M61" s="328"/>
      <c r="N61" s="1386"/>
      <c r="O61" s="1387">
        <f>N61</f>
        <v>0</v>
      </c>
      <c r="P61" s="328"/>
      <c r="Q61" s="1200"/>
      <c r="R61" s="1373"/>
      <c r="T61" s="399"/>
      <c r="V61" s="275"/>
      <c r="X61" s="14"/>
      <c r="AA61" s="14"/>
      <c r="AD61" s="14"/>
    </row>
    <row r="62" spans="2:30" ht="16.5" thickBot="1" x14ac:dyDescent="0.3">
      <c r="D62" s="309"/>
      <c r="J62" s="1388" t="s">
        <v>431</v>
      </c>
      <c r="K62" s="805"/>
      <c r="L62" s="663"/>
      <c r="M62" s="663"/>
      <c r="N62" s="1389">
        <f>N58-N59-N61-15</f>
        <v>-15</v>
      </c>
      <c r="O62" s="1389">
        <f>N58-N59-O61-15</f>
        <v>-15</v>
      </c>
      <c r="P62" s="663"/>
      <c r="Q62" s="805"/>
      <c r="R62" s="1390"/>
      <c r="T62" s="399"/>
      <c r="X62" s="14"/>
      <c r="AA62" s="14"/>
      <c r="AD62" s="14"/>
    </row>
    <row r="63" spans="2:30" ht="16.5" thickBot="1" x14ac:dyDescent="0.3">
      <c r="J63" s="1391" t="s">
        <v>428</v>
      </c>
      <c r="K63" s="1392"/>
      <c r="L63" s="1393"/>
      <c r="M63" s="1393"/>
      <c r="N63" s="1842" t="e">
        <f>E15*N59+(1-E15)*MAX(N49:O49)*(N58-15)/N55</f>
        <v>#DIV/0!</v>
      </c>
      <c r="O63" s="1843"/>
      <c r="P63" s="1393"/>
      <c r="Q63" s="922"/>
      <c r="R63" s="1395"/>
      <c r="U63" s="399"/>
      <c r="X63" s="14"/>
      <c r="AA63" s="14"/>
      <c r="AD63" s="14"/>
    </row>
    <row r="64" spans="2:30" ht="16.5" thickBot="1" x14ac:dyDescent="0.3">
      <c r="J64" s="1396" t="s">
        <v>429</v>
      </c>
      <c r="K64" s="1397"/>
      <c r="L64" s="1398"/>
      <c r="M64" s="1398"/>
      <c r="N64" s="1394" t="e">
        <f>N63</f>
        <v>#DIV/0!</v>
      </c>
      <c r="O64" s="1450" t="e">
        <f>N63</f>
        <v>#DIV/0!</v>
      </c>
      <c r="P64" s="1398"/>
      <c r="Q64" s="805"/>
      <c r="R64" s="1390"/>
      <c r="T64" s="399"/>
    </row>
    <row r="65" spans="5:20" ht="16.5" thickBot="1" x14ac:dyDescent="0.3">
      <c r="G65" s="1806" t="s">
        <v>121</v>
      </c>
      <c r="H65" s="1807"/>
      <c r="J65" s="1399" t="s">
        <v>430</v>
      </c>
      <c r="K65" s="1397"/>
      <c r="L65" s="1398"/>
      <c r="M65" s="1398"/>
      <c r="N65" s="1400" t="e">
        <f>E15*N61+(1-E15)*(MAX(N51:O51)/N55)*(N58-15)</f>
        <v>#DIV/0!</v>
      </c>
      <c r="O65" s="1401" t="e">
        <f>N65</f>
        <v>#DIV/0!</v>
      </c>
      <c r="P65" s="1398"/>
      <c r="Q65" s="805"/>
      <c r="R65" s="1390"/>
      <c r="T65" s="399"/>
    </row>
    <row r="66" spans="5:20" ht="16.5" thickBot="1" x14ac:dyDescent="0.3">
      <c r="J66" s="1402" t="s">
        <v>431</v>
      </c>
      <c r="K66" s="1403"/>
      <c r="L66" s="1404"/>
      <c r="M66" s="1404"/>
      <c r="N66" s="1405" t="e">
        <f>E15*N62+(1-E15)*(N58-15-N63-N65)</f>
        <v>#DIV/0!</v>
      </c>
      <c r="O66" s="1406" t="e">
        <f>E15*O62+(1-E15)*(N58-15-N63-O65)</f>
        <v>#DIV/0!</v>
      </c>
      <c r="P66" s="1404"/>
      <c r="Q66" s="805"/>
      <c r="R66" s="1390"/>
      <c r="T66" s="399"/>
    </row>
    <row r="67" spans="5:20" ht="15.75" thickBot="1" x14ac:dyDescent="0.3">
      <c r="J67" s="560" t="s">
        <v>432</v>
      </c>
      <c r="K67" s="887"/>
      <c r="L67" s="658"/>
      <c r="M67" s="658"/>
      <c r="N67" s="712" t="e">
        <f>N49/(N63/N57)</f>
        <v>#DIV/0!</v>
      </c>
      <c r="O67" s="712" t="e">
        <f>O49/(N63/N58)</f>
        <v>#DIV/0!</v>
      </c>
      <c r="P67" s="658"/>
      <c r="Q67" s="805"/>
      <c r="R67" s="1390"/>
      <c r="T67" s="400"/>
    </row>
    <row r="68" spans="5:20" ht="15.75" thickBot="1" x14ac:dyDescent="0.3">
      <c r="J68" s="1153" t="s">
        <v>1338</v>
      </c>
      <c r="K68" s="1200"/>
      <c r="L68" s="328"/>
      <c r="M68" s="328"/>
      <c r="N68" s="1181" t="e">
        <f>N50/(N64/N57)</f>
        <v>#DIV/0!</v>
      </c>
      <c r="O68" s="1181" t="e">
        <f>O50/(O64/N58)</f>
        <v>#DIV/0!</v>
      </c>
      <c r="P68" s="328"/>
      <c r="Q68" s="805"/>
      <c r="R68" s="1390"/>
    </row>
    <row r="69" spans="5:20" ht="15.75" thickBot="1" x14ac:dyDescent="0.3">
      <c r="J69" s="1374" t="s">
        <v>434</v>
      </c>
      <c r="K69" s="1200"/>
      <c r="L69" s="328"/>
      <c r="M69" s="328"/>
      <c r="N69" s="1181" t="e">
        <f>N51/(N65/N58)</f>
        <v>#DIV/0!</v>
      </c>
      <c r="O69" s="1181" t="e">
        <f>O51/(O65/N58)</f>
        <v>#DIV/0!</v>
      </c>
      <c r="P69" s="328"/>
      <c r="Q69" s="805"/>
      <c r="R69" s="1390"/>
    </row>
    <row r="70" spans="5:20" ht="15.75" thickBot="1" x14ac:dyDescent="0.3">
      <c r="J70" s="1153" t="s">
        <v>1337</v>
      </c>
      <c r="K70" s="1200"/>
      <c r="L70" s="328"/>
      <c r="M70" s="328"/>
      <c r="N70" s="1181" t="e">
        <f>N52/(N65/N58)</f>
        <v>#DIV/0!</v>
      </c>
      <c r="O70" s="1181" t="e">
        <f>O52/(O65/N58)</f>
        <v>#DIV/0!</v>
      </c>
      <c r="P70" s="18"/>
      <c r="Q70" s="805"/>
      <c r="R70" s="1390"/>
    </row>
    <row r="71" spans="5:20" ht="15.75" thickBot="1" x14ac:dyDescent="0.3">
      <c r="J71" s="19" t="s">
        <v>435</v>
      </c>
      <c r="K71" s="1375"/>
      <c r="L71" s="1376"/>
      <c r="M71" s="1376"/>
      <c r="N71" s="1381" t="e">
        <f>N53/(N66/N58)</f>
        <v>#DIV/0!</v>
      </c>
      <c r="O71" s="1381" t="e">
        <f>O53/(O66/N58)</f>
        <v>#DIV/0!</v>
      </c>
      <c r="P71" s="1451"/>
      <c r="Q71" s="805"/>
      <c r="R71" s="1390"/>
    </row>
    <row r="72" spans="5:20" ht="15.75" thickBot="1" x14ac:dyDescent="0.3">
      <c r="J72" s="1408" t="s">
        <v>436</v>
      </c>
      <c r="K72" s="1409" t="e">
        <f>K38/K40</f>
        <v>#DIV/0!</v>
      </c>
      <c r="L72" s="1410"/>
      <c r="M72" s="1410"/>
      <c r="N72" s="1411"/>
      <c r="O72" s="1411"/>
      <c r="P72" s="1281"/>
      <c r="Q72" s="1409" t="e">
        <f>Q38/Q40</f>
        <v>#DIV/0!</v>
      </c>
      <c r="R72" s="1413"/>
    </row>
    <row r="73" spans="5:20" x14ac:dyDescent="0.25">
      <c r="E73" s="315" t="s">
        <v>946</v>
      </c>
      <c r="F73" s="316" t="s">
        <v>948</v>
      </c>
      <c r="J73" s="560" t="s">
        <v>438</v>
      </c>
      <c r="K73" s="1415"/>
      <c r="L73" s="658"/>
      <c r="M73" s="658"/>
      <c r="N73" s="886" t="e">
        <f>MAX(0,(1-VLOOKUP($E$16,$E$74:$F$79,2,FALSE)*N63/$N$58)/(1-N63/$N$58))</f>
        <v>#N/A</v>
      </c>
      <c r="O73" s="886" t="e">
        <f>MAX(0,(1-VLOOKUP($E$16,$E$74:$F$79,2,FALSE)*N63/$N$58)/(1-N63/$N$58))</f>
        <v>#N/A</v>
      </c>
      <c r="P73" s="658"/>
      <c r="Q73" s="1415"/>
      <c r="R73" s="561"/>
    </row>
    <row r="74" spans="5:20" x14ac:dyDescent="0.25">
      <c r="E74" s="317">
        <v>1</v>
      </c>
      <c r="F74" s="318">
        <v>0.33</v>
      </c>
      <c r="J74" s="1153" t="s">
        <v>439</v>
      </c>
      <c r="K74" s="1179"/>
      <c r="L74" s="328"/>
      <c r="M74" s="328"/>
      <c r="N74" s="837" t="e">
        <f>MAX(0,(1-VLOOKUP($E$16,$E$74:$F$79,2,FALSE)*N64/$N$58)/(1-N64/$N$58))</f>
        <v>#N/A</v>
      </c>
      <c r="O74" s="837" t="e">
        <f>MAX(0,(1-VLOOKUP($E$16,$E$74:$F$79,2,FALSE)*O64/$N$58)/(1-O64/$N$58))</f>
        <v>#N/A</v>
      </c>
      <c r="P74" s="328"/>
      <c r="Q74" s="1179"/>
      <c r="R74" s="1196"/>
    </row>
    <row r="75" spans="5:20" x14ac:dyDescent="0.25">
      <c r="E75" s="317">
        <v>2</v>
      </c>
      <c r="F75" s="318">
        <v>0.67</v>
      </c>
      <c r="J75" s="1374" t="s">
        <v>440</v>
      </c>
      <c r="K75" s="1235"/>
      <c r="L75" s="1177"/>
      <c r="M75" s="1177"/>
      <c r="N75" s="1234">
        <v>1</v>
      </c>
      <c r="O75" s="1234">
        <v>1</v>
      </c>
      <c r="P75" s="1177"/>
      <c r="Q75" s="1235"/>
      <c r="R75" s="1199"/>
    </row>
    <row r="76" spans="5:20" x14ac:dyDescent="0.25">
      <c r="E76" s="317">
        <v>3</v>
      </c>
      <c r="F76" s="318">
        <v>1</v>
      </c>
      <c r="J76" s="1153" t="s">
        <v>441</v>
      </c>
      <c r="K76" s="1179"/>
      <c r="L76" s="328"/>
      <c r="M76" s="328"/>
      <c r="N76" s="1233">
        <v>1</v>
      </c>
      <c r="O76" s="1233">
        <v>1</v>
      </c>
      <c r="P76" s="328"/>
      <c r="Q76" s="1179"/>
      <c r="R76" s="1196"/>
      <c r="T76" s="399"/>
    </row>
    <row r="77" spans="5:20" ht="15.75" thickBot="1" x14ac:dyDescent="0.3">
      <c r="E77" s="317">
        <v>4</v>
      </c>
      <c r="F77" s="318">
        <v>1.33</v>
      </c>
      <c r="J77" s="19" t="s">
        <v>442</v>
      </c>
      <c r="K77" s="1235"/>
      <c r="L77" s="1177"/>
      <c r="M77" s="1177"/>
      <c r="N77" s="1233">
        <v>1</v>
      </c>
      <c r="O77" s="1233">
        <v>1</v>
      </c>
      <c r="P77" s="1177"/>
      <c r="Q77" s="1235"/>
      <c r="R77" s="1199"/>
    </row>
    <row r="78" spans="5:20" ht="15.75" thickBot="1" x14ac:dyDescent="0.3">
      <c r="E78" s="317">
        <v>5</v>
      </c>
      <c r="F78" s="318">
        <v>1.67</v>
      </c>
      <c r="J78" s="1153" t="s">
        <v>443</v>
      </c>
      <c r="K78" s="1181">
        <v>1</v>
      </c>
      <c r="L78" s="328"/>
      <c r="M78" s="328"/>
      <c r="N78" s="1237"/>
      <c r="O78" s="1200"/>
      <c r="P78" s="328"/>
      <c r="Q78" s="1181">
        <v>1</v>
      </c>
      <c r="R78" s="1196"/>
    </row>
    <row r="79" spans="5:20" ht="15.75" thickBot="1" x14ac:dyDescent="0.3">
      <c r="E79" s="330">
        <v>6</v>
      </c>
      <c r="F79" s="331">
        <v>2</v>
      </c>
      <c r="J79" s="461"/>
      <c r="K79" s="1688" t="s">
        <v>958</v>
      </c>
      <c r="L79" s="1689"/>
      <c r="M79" s="1417"/>
      <c r="N79" s="418" t="s">
        <v>576</v>
      </c>
      <c r="O79" s="419" t="s">
        <v>577</v>
      </c>
      <c r="P79" s="1419"/>
      <c r="Q79" s="1688" t="s">
        <v>959</v>
      </c>
      <c r="R79" s="1689"/>
      <c r="T79" s="31"/>
    </row>
    <row r="80" spans="5:20" x14ac:dyDescent="0.25">
      <c r="J80" s="560" t="s">
        <v>1339</v>
      </c>
      <c r="K80" s="799"/>
      <c r="L80" s="713"/>
      <c r="M80" s="308"/>
      <c r="N80" s="308" t="e">
        <f>N73*0.5*$N$58*(1-N63/$N$58)^2/(1-MIN(1,N67)*N63/$N$58)+225*(N67-1+SQRT((N67-1)^2+16*N67/(N41/N67)))</f>
        <v>#N/A</v>
      </c>
      <c r="O80" s="308" t="e">
        <f>O73*0.5*$N$58*(1-O63/$N$58)^2/(1-MIN(1,O67)*O63/$N$58)+225*(O67-1+SQRT((O67-1)^2+16*O67/(O41/O67)))</f>
        <v>#N/A</v>
      </c>
      <c r="P80" s="713"/>
      <c r="Q80" s="799"/>
      <c r="R80" s="561"/>
      <c r="T80" s="308"/>
    </row>
    <row r="81" spans="10:20" x14ac:dyDescent="0.25">
      <c r="J81" s="1153" t="s">
        <v>1322</v>
      </c>
      <c r="K81" s="725"/>
      <c r="L81" s="308"/>
      <c r="M81" s="308"/>
      <c r="N81" s="308">
        <f>IF(N32=0,0,N74*0.5*$N$58*(1-N64/$N$58)^2/(1-MIN(1,N68)*N64/$N$58)+225*(N68-1+SQRT((N68-1)^2+16*N68/(N42/N68))))</f>
        <v>0</v>
      </c>
      <c r="O81" s="308">
        <f>IF(O32=0,0,O74*0.5*$N$58*(1-O64/$N$58)^2/(1-MIN(1,O68)*O64/$N$58)+225*(O68-1+SQRT((O68-1)^2+16*O68/(O42/O68))))</f>
        <v>0</v>
      </c>
      <c r="P81" s="308"/>
      <c r="Q81" s="725"/>
      <c r="R81" s="570"/>
      <c r="T81" s="308"/>
    </row>
    <row r="82" spans="10:20" x14ac:dyDescent="0.25">
      <c r="J82" s="1374" t="s">
        <v>1323</v>
      </c>
      <c r="K82" s="1249"/>
      <c r="L82" s="1421"/>
      <c r="M82" s="1246"/>
      <c r="N82" s="1246" t="e">
        <f>N75*0.5*$N$58*(1-N65/$N$58)^2/(1-MIN(1,N69)*N65/$N$58)+225*(N69-1+SQRT((N69-1)^2+16*N69/(N43/N69)))</f>
        <v>#DIV/0!</v>
      </c>
      <c r="O82" s="1246" t="e">
        <f>O75*0.5*$N$58*(1-O65/$N$58)^2/(1-MIN(1,O69)*O65/$N$58)+225*(O69-1+SQRT((O69-1)^2+16*O69/(O43/O69)))</f>
        <v>#DIV/0!</v>
      </c>
      <c r="P82" s="1422"/>
      <c r="Q82" s="1249"/>
      <c r="R82" s="1199"/>
      <c r="T82" s="308"/>
    </row>
    <row r="83" spans="10:20" x14ac:dyDescent="0.25">
      <c r="J83" s="1153" t="s">
        <v>1324</v>
      </c>
      <c r="K83" s="1249"/>
      <c r="L83" s="1423"/>
      <c r="M83" s="1248"/>
      <c r="N83" s="1248">
        <f>IF(N34=0,0,N76*0.5*$N$58*(1-N65/$N$58)^2/(1-MIN(1,N70)*N65/$N$58)+225*(N70-1+SQRT((N70-1)^2+16*N70/(N44/N70))))</f>
        <v>0</v>
      </c>
      <c r="O83" s="1248">
        <f>IF(O34=0,0,O76*0.5*$N$58*(1-O65/$N$58)^2/(1-MIN(1,O70)*O65/$N$58)+225*(O70-1+SQRT((O70-1)^2+16*O70/(O44/O70))))</f>
        <v>0</v>
      </c>
      <c r="P83" s="1424"/>
      <c r="Q83" s="1249"/>
      <c r="R83" s="1196"/>
      <c r="T83" s="308"/>
    </row>
    <row r="84" spans="10:20" x14ac:dyDescent="0.25">
      <c r="J84" s="1374" t="s">
        <v>1325</v>
      </c>
      <c r="K84" s="1249"/>
      <c r="L84" s="308"/>
      <c r="M84" s="308"/>
      <c r="N84" s="308" t="e">
        <f>N77*0.5*$N$58*(1-N66/$N$58)^2/(1-MIN(1,N71)*N66/$N$58)+225*(N71-1+SQRT((N71-1)^2+16*N71/(N45/N71)))</f>
        <v>#DIV/0!</v>
      </c>
      <c r="O84" s="308" t="e">
        <f>O77*0.5*$N$58*(1-O66/$N$58)^2/(1-MIN(1,O71)*O66/$N$58)+225*(O71-1+SQRT((O71-1)^2+16*O71/(O45/O71)))</f>
        <v>#DIV/0!</v>
      </c>
      <c r="P84" s="308"/>
      <c r="Q84" s="1249"/>
      <c r="R84" s="1199"/>
      <c r="T84" s="308"/>
    </row>
    <row r="85" spans="10:20" ht="15.75" thickBot="1" x14ac:dyDescent="0.3">
      <c r="J85" s="1374" t="s">
        <v>1340</v>
      </c>
      <c r="K85" s="1246" t="e">
        <f>3600/K40+5+225*(K72-1+SQRT((K72-1)^2+32*K72/K40))</f>
        <v>#DIV/0!</v>
      </c>
      <c r="L85" s="1248"/>
      <c r="M85" s="1248"/>
      <c r="N85" s="1452" t="e">
        <f>(N80*(N41+IF(N32=0,N42,0))+N81*N42+N82*(N43+IF(N34=0,N44,0))+N83*N44+N84*N45)/(SUM(N41:N45))</f>
        <v>#N/A</v>
      </c>
      <c r="O85" s="1452" t="e">
        <f>(O80*(O41+IF(O32=0,O42,0))+O81*O42+O82*(O43+IF(O34=0,O44,0))+O83*O44+O84*O45)/(SUM(O41:O45))</f>
        <v>#N/A</v>
      </c>
      <c r="P85" s="1248"/>
      <c r="Q85" s="1246" t="e">
        <f>3600/Q40+5+225*(Q72-1+SQRT((Q72-1)^2+32*Q72/Q40))</f>
        <v>#DIV/0!</v>
      </c>
      <c r="R85" s="1196"/>
    </row>
    <row r="86" spans="10:20" ht="19.5" thickBot="1" x14ac:dyDescent="0.35">
      <c r="J86" s="1428" t="s">
        <v>1341</v>
      </c>
      <c r="K86" s="1453" t="e">
        <f>SUMPRODUCT(K85:K85,K38:K38)/SUM(K38:K38)</f>
        <v>#DIV/0!</v>
      </c>
      <c r="L86" s="1430"/>
      <c r="M86" s="1430"/>
      <c r="N86" s="1858" t="e">
        <f>(N85*SUM(N41:N45)+O85*SUM(O41:O45))/SUM(N41:O45)</f>
        <v>#N/A</v>
      </c>
      <c r="O86" s="1859"/>
      <c r="P86" s="1430"/>
      <c r="Q86" s="1453" t="e">
        <f>SUMPRODUCT(Q85:Q85,Q38:Q38)/SUM(Q38:Q38)</f>
        <v>#DIV/0!</v>
      </c>
      <c r="R86" s="1431"/>
      <c r="T86" s="1454"/>
    </row>
    <row r="87" spans="10:20" ht="6.75" customHeight="1" thickBot="1" x14ac:dyDescent="0.3">
      <c r="K87" s="20"/>
      <c r="L87" s="308"/>
      <c r="M87" s="308"/>
      <c r="N87" s="20"/>
      <c r="O87" s="308"/>
      <c r="P87" s="308"/>
      <c r="Q87" s="308"/>
      <c r="R87" s="308"/>
    </row>
    <row r="88" spans="10:20" ht="19.5" customHeight="1" thickBot="1" x14ac:dyDescent="0.3">
      <c r="J88" s="1455" t="s">
        <v>1342</v>
      </c>
      <c r="K88" s="1688" t="s">
        <v>958</v>
      </c>
      <c r="L88" s="1689"/>
      <c r="M88" s="658"/>
      <c r="N88" s="777" t="s">
        <v>100</v>
      </c>
      <c r="O88" s="658"/>
      <c r="P88" s="658"/>
      <c r="Q88" s="1688" t="s">
        <v>959</v>
      </c>
      <c r="R88" s="1689"/>
    </row>
    <row r="89" spans="10:20" ht="18.75" customHeight="1" x14ac:dyDescent="0.25">
      <c r="J89" s="560" t="s">
        <v>1326</v>
      </c>
      <c r="K89" s="1434"/>
      <c r="L89" s="731"/>
      <c r="M89" s="731"/>
      <c r="N89" s="731" t="e">
        <f>2*25*N80*(N41/N67)/(3600*N31)</f>
        <v>#N/A</v>
      </c>
      <c r="O89" s="731" t="e">
        <f>2*25*O80*(O41/O67)/(3600*O31)</f>
        <v>#N/A</v>
      </c>
      <c r="P89" s="731"/>
      <c r="Q89" s="1434"/>
      <c r="R89" s="561"/>
    </row>
    <row r="90" spans="10:20" x14ac:dyDescent="0.25">
      <c r="J90" s="1153" t="s">
        <v>1327</v>
      </c>
      <c r="K90" s="504"/>
      <c r="L90" s="20"/>
      <c r="M90" s="20"/>
      <c r="N90" s="1154">
        <f>IF(N32=0,0,2*25*N81*(N42/N68)/(3600*N32))</f>
        <v>0</v>
      </c>
      <c r="O90" s="1154">
        <f>IF(O32=0,0,2*25*O81*(O42/O68)/(3600*O32))</f>
        <v>0</v>
      </c>
      <c r="P90" s="20"/>
      <c r="Q90" s="504"/>
      <c r="R90" s="570"/>
    </row>
    <row r="91" spans="10:20" x14ac:dyDescent="0.25">
      <c r="J91" s="1374" t="s">
        <v>1328</v>
      </c>
      <c r="K91" s="1163"/>
      <c r="L91" s="341"/>
      <c r="M91" s="342"/>
      <c r="N91" s="342" t="e">
        <f>2*25*N82*(N43/N69)/(3600*N33)</f>
        <v>#DIV/0!</v>
      </c>
      <c r="O91" s="342" t="e">
        <f>2*25*O82*(O43/O69)/(3600*O33)</f>
        <v>#DIV/0!</v>
      </c>
      <c r="P91" s="343"/>
      <c r="Q91" s="1163"/>
      <c r="R91" s="1199"/>
    </row>
    <row r="92" spans="10:20" x14ac:dyDescent="0.25">
      <c r="J92" s="1153" t="s">
        <v>1329</v>
      </c>
      <c r="K92" s="1162"/>
      <c r="L92" s="1435"/>
      <c r="M92" s="1154"/>
      <c r="N92" s="1154">
        <f>IF(N34=0,0,2*25*N83*(N44/N70)/(3600*N34))</f>
        <v>0</v>
      </c>
      <c r="O92" s="1154">
        <f>IF(O34=0,0,2*25*O83*(O44/O70)/(3600*O34))</f>
        <v>0</v>
      </c>
      <c r="P92" s="1436"/>
      <c r="Q92" s="1162"/>
      <c r="R92" s="1196"/>
    </row>
    <row r="93" spans="10:20" x14ac:dyDescent="0.25">
      <c r="J93" s="1374" t="s">
        <v>1330</v>
      </c>
      <c r="K93" s="1437"/>
      <c r="L93" s="342"/>
      <c r="M93" s="342"/>
      <c r="N93" s="342" t="e">
        <f>2*25*N84*(N45/N71)/(3600*N35)</f>
        <v>#DIV/0!</v>
      </c>
      <c r="O93" s="342" t="e">
        <f>2*25*O84*(O45/O71)/(3600*O35)</f>
        <v>#DIV/0!</v>
      </c>
      <c r="P93" s="342"/>
      <c r="Q93" s="1438"/>
      <c r="R93" s="335"/>
    </row>
    <row r="94" spans="10:20" ht="15.75" thickBot="1" x14ac:dyDescent="0.3">
      <c r="J94" s="1374" t="s">
        <v>1331</v>
      </c>
      <c r="K94" s="342" t="e">
        <f>2*25*K85*K40/(3600*K36)</f>
        <v>#DIV/0!</v>
      </c>
      <c r="L94" s="1154"/>
      <c r="M94" s="1154"/>
      <c r="N94" s="1162"/>
      <c r="O94" s="1162"/>
      <c r="P94" s="1154"/>
      <c r="Q94" s="342" t="e">
        <f>2*25*Q85*Q40/(3600*Q36)</f>
        <v>#DIV/0!</v>
      </c>
      <c r="R94" s="340"/>
    </row>
    <row r="95" spans="10:20" x14ac:dyDescent="0.25">
      <c r="J95" s="484"/>
      <c r="K95" s="731"/>
      <c r="L95" s="731"/>
      <c r="M95" s="731"/>
      <c r="N95" s="731"/>
      <c r="O95" s="731"/>
      <c r="P95" s="731"/>
      <c r="Q95" s="731"/>
      <c r="R95" s="484"/>
    </row>
    <row r="96" spans="10:20" x14ac:dyDescent="0.25">
      <c r="T96" s="180"/>
    </row>
    <row r="98" spans="15:15" x14ac:dyDescent="0.25">
      <c r="O98" s="31"/>
    </row>
  </sheetData>
  <sheetProtection algorithmName="SHA-512" hashValue="kP9VMntw7uOEYWgitt6xayIJAJW78tchj5Hwa/9x+cmrCh8BtqW+vV8IgcYyWQMVneZYVJCW/cL6/exGtloz7A==" saltValue="mT3HxxErtimceD0DPr9PvA==" spinCount="100000" sheet="1" objects="1" scenarios="1"/>
  <mergeCells count="34">
    <mergeCell ref="G65:H65"/>
    <mergeCell ref="K79:L79"/>
    <mergeCell ref="Q79:R79"/>
    <mergeCell ref="N86:O86"/>
    <mergeCell ref="K88:L88"/>
    <mergeCell ref="Q88:R88"/>
    <mergeCell ref="N63:O63"/>
    <mergeCell ref="Q28:R28"/>
    <mergeCell ref="K29:L29"/>
    <mergeCell ref="N29:O29"/>
    <mergeCell ref="Q29:R29"/>
    <mergeCell ref="M39:M40"/>
    <mergeCell ref="K46:L46"/>
    <mergeCell ref="N46:O46"/>
    <mergeCell ref="Q46:R46"/>
    <mergeCell ref="N55:O55"/>
    <mergeCell ref="J56:R56"/>
    <mergeCell ref="N57:O57"/>
    <mergeCell ref="N58:O58"/>
    <mergeCell ref="N59:O59"/>
    <mergeCell ref="J28:J30"/>
    <mergeCell ref="G13:H13"/>
    <mergeCell ref="G20:H20"/>
    <mergeCell ref="G21:H21"/>
    <mergeCell ref="L26:O26"/>
    <mergeCell ref="K28:L28"/>
    <mergeCell ref="N28:O28"/>
    <mergeCell ref="C3:E3"/>
    <mergeCell ref="J3:V3"/>
    <mergeCell ref="G6:I6"/>
    <mergeCell ref="X6:Y6"/>
    <mergeCell ref="G7:H7"/>
    <mergeCell ref="X7:Y7"/>
    <mergeCell ref="E5:I5"/>
  </mergeCells>
  <conditionalFormatting sqref="K94 Q94">
    <cfRule type="cellIs" dxfId="19" priority="6" operator="greaterThan">
      <formula>$E$35</formula>
    </cfRule>
  </conditionalFormatting>
  <conditionalFormatting sqref="K89:M93 P89:Q93 L94:P94 K95:Q95">
    <cfRule type="cellIs" dxfId="18" priority="7" operator="greaterThan">
      <formula>$E$11</formula>
    </cfRule>
  </conditionalFormatting>
  <conditionalFormatting sqref="K55:N55 P55:Q55">
    <cfRule type="containsText" dxfId="17" priority="14" operator="containsText" text="OVERCAP">
      <formula>NOT(ISERROR(SEARCH("OVERCAP",K55)))</formula>
    </cfRule>
  </conditionalFormatting>
  <conditionalFormatting sqref="K16:V16">
    <cfRule type="colorScale" priority="12">
      <colorScale>
        <cfvo type="min"/>
        <cfvo type="percentile" val="50"/>
        <cfvo type="max"/>
        <color rgb="FF63BE7B"/>
        <color rgb="FFFFEB84"/>
        <color rgb="FFF8696B"/>
      </colorScale>
    </cfRule>
  </conditionalFormatting>
  <conditionalFormatting sqref="K18:V18">
    <cfRule type="cellIs" dxfId="16" priority="10" operator="equal">
      <formula>"F"</formula>
    </cfRule>
    <cfRule type="colorScale" priority="11">
      <colorScale>
        <cfvo type="min"/>
        <cfvo type="percentile" val="50"/>
        <cfvo type="max"/>
        <color rgb="FF63BE7B"/>
        <color rgb="FFFFEB84"/>
        <color rgb="FFF8696B"/>
      </colorScale>
    </cfRule>
  </conditionalFormatting>
  <conditionalFormatting sqref="K87 N87">
    <cfRule type="colorScale" priority="13">
      <colorScale>
        <cfvo type="min"/>
        <cfvo type="percentile" val="50"/>
        <cfvo type="max"/>
        <color rgb="FF63BE7B"/>
        <color rgb="FFFFEB84"/>
        <color rgb="FFF8696B"/>
      </colorScale>
    </cfRule>
  </conditionalFormatting>
  <conditionalFormatting sqref="N67:O71">
    <cfRule type="cellIs" dxfId="15" priority="1" operator="greaterThan">
      <formula>1</formula>
    </cfRule>
    <cfRule type="cellIs" dxfId="14" priority="5" operator="greaterThan">
      <formula>0.99999</formula>
    </cfRule>
  </conditionalFormatting>
  <conditionalFormatting sqref="N91:O92">
    <cfRule type="cellIs" dxfId="13" priority="4" operator="greaterThan">
      <formula>$E$10</formula>
    </cfRule>
  </conditionalFormatting>
  <conditionalFormatting sqref="N93:O93">
    <cfRule type="cellIs" dxfId="12" priority="2" operator="greaterThan">
      <formula>$E$35</formula>
    </cfRule>
  </conditionalFormatting>
  <conditionalFormatting sqref="O91">
    <cfRule type="cellIs" dxfId="11" priority="3" operator="greaterThan">
      <formula>$E$11</formula>
    </cfRule>
  </conditionalFormatting>
  <conditionalFormatting sqref="O23:V23">
    <cfRule type="colorScale" priority="8">
      <colorScale>
        <cfvo type="min"/>
        <cfvo type="percentile" val="50"/>
        <cfvo type="max"/>
        <color rgb="FF63BE7B"/>
        <color rgb="FFFFEB84"/>
        <color rgb="FFF8696B"/>
      </colorScale>
    </cfRule>
  </conditionalFormatting>
  <conditionalFormatting sqref="V20">
    <cfRule type="containsText" dxfId="10" priority="9" operator="containsText" text="YES">
      <formula>NOT(ISERROR(SEARCH("YES",V20)))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Y98"/>
  <sheetViews>
    <sheetView topLeftCell="A2" workbookViewId="0">
      <selection activeCell="E33" sqref="E33"/>
    </sheetView>
  </sheetViews>
  <sheetFormatPr defaultColWidth="8.85546875" defaultRowHeight="15" x14ac:dyDescent="0.25"/>
  <cols>
    <col min="1" max="1" width="0.7109375" customWidth="1"/>
    <col min="2" max="2" width="1.7109375" customWidth="1"/>
    <col min="4" max="4" width="48.42578125" customWidth="1"/>
    <col min="5" max="5" width="14" customWidth="1"/>
    <col min="6" max="6" width="9.140625" customWidth="1"/>
    <col min="7" max="7" width="13" customWidth="1"/>
    <col min="8" max="8" width="10.85546875" customWidth="1"/>
    <col min="9" max="9" width="2.42578125" customWidth="1"/>
    <col min="10" max="10" width="43.42578125" customWidth="1"/>
    <col min="11" max="11" width="7.42578125" customWidth="1"/>
    <col min="12" max="12" width="14.42578125" customWidth="1"/>
    <col min="13" max="13" width="9.85546875" bestFit="1" customWidth="1"/>
    <col min="14" max="14" width="15" customWidth="1"/>
    <col min="15" max="15" width="10.7109375" customWidth="1"/>
    <col min="16" max="16" width="11.28515625" customWidth="1"/>
    <col min="17" max="17" width="9.42578125" customWidth="1"/>
    <col min="18" max="18" width="7.85546875" customWidth="1"/>
    <col min="19" max="19" width="6.7109375" customWidth="1"/>
    <col min="20" max="21" width="8.140625" customWidth="1"/>
  </cols>
  <sheetData>
    <row r="1" spans="3:20" ht="4.5" hidden="1" customHeight="1" x14ac:dyDescent="0.25"/>
    <row r="2" spans="3:20" ht="4.5" customHeight="1" thickBot="1" x14ac:dyDescent="0.3"/>
    <row r="3" spans="3:20" ht="19.5" thickBot="1" x14ac:dyDescent="0.35">
      <c r="C3" s="1703" t="s">
        <v>232</v>
      </c>
      <c r="D3" s="1704"/>
      <c r="E3" s="1705"/>
      <c r="L3" s="1873" t="s">
        <v>1075</v>
      </c>
      <c r="M3" s="1873"/>
      <c r="N3" s="1873"/>
      <c r="O3" s="1873"/>
      <c r="P3" s="1873"/>
      <c r="Q3" s="195"/>
    </row>
    <row r="4" spans="3:20" ht="5.25" customHeight="1" thickBot="1" x14ac:dyDescent="0.3"/>
    <row r="5" spans="3:20" ht="20.25" customHeight="1" thickBot="1" x14ac:dyDescent="0.3">
      <c r="C5" s="461" t="s">
        <v>1043</v>
      </c>
      <c r="D5" s="561"/>
      <c r="E5" s="1847">
        <f>'GLOBAL INPUTS'!F55</f>
        <v>0</v>
      </c>
      <c r="F5" s="1848"/>
      <c r="G5" s="1848"/>
      <c r="H5" s="1849"/>
    </row>
    <row r="6" spans="3:20" ht="16.5" thickBot="1" x14ac:dyDescent="0.3">
      <c r="C6" s="17" t="s">
        <v>1280</v>
      </c>
      <c r="D6" s="561"/>
      <c r="E6" s="1102">
        <f>'GLOBAL INPUTS'!F56</f>
        <v>0</v>
      </c>
      <c r="F6" s="483"/>
      <c r="G6" s="1815"/>
      <c r="H6" s="1815"/>
      <c r="I6" s="1816"/>
      <c r="J6" s="1456" t="s">
        <v>6</v>
      </c>
      <c r="K6" s="566"/>
      <c r="L6" s="567">
        <v>2</v>
      </c>
      <c r="M6" s="567">
        <v>2</v>
      </c>
      <c r="N6" s="569">
        <v>4</v>
      </c>
      <c r="O6" s="568">
        <v>4</v>
      </c>
      <c r="P6" s="567">
        <v>6</v>
      </c>
      <c r="Q6" s="568">
        <v>6</v>
      </c>
      <c r="S6" s="1767"/>
      <c r="T6" s="1767"/>
    </row>
    <row r="7" spans="3:20" ht="16.5" thickBot="1" x14ac:dyDescent="0.3">
      <c r="C7" s="17" t="s">
        <v>470</v>
      </c>
      <c r="D7" s="570"/>
      <c r="E7" s="1102">
        <f>'GLOBAL INPUTS'!F58</f>
        <v>0</v>
      </c>
      <c r="F7" s="742"/>
      <c r="G7" s="1696"/>
      <c r="H7" s="1697"/>
      <c r="J7" s="1457" t="s">
        <v>7</v>
      </c>
      <c r="K7" s="573"/>
      <c r="L7" s="32">
        <v>4</v>
      </c>
      <c r="M7" s="32">
        <v>6</v>
      </c>
      <c r="N7" s="575">
        <v>6</v>
      </c>
      <c r="O7" s="574">
        <v>2</v>
      </c>
      <c r="P7" s="32">
        <v>2</v>
      </c>
      <c r="Q7" s="574">
        <v>4</v>
      </c>
      <c r="S7" s="1768"/>
      <c r="T7" s="1768"/>
    </row>
    <row r="8" spans="3:20" ht="16.5" thickBot="1" x14ac:dyDescent="0.3">
      <c r="C8" s="17" t="s">
        <v>1002</v>
      </c>
      <c r="D8" s="570"/>
      <c r="E8" s="881">
        <f>'GLOBAL INPUTS'!F59</f>
        <v>0</v>
      </c>
      <c r="F8" s="742" t="s">
        <v>2</v>
      </c>
      <c r="J8" s="1007" t="s">
        <v>8</v>
      </c>
      <c r="K8" s="577"/>
      <c r="L8" s="18" t="s">
        <v>9</v>
      </c>
      <c r="M8" s="18" t="s">
        <v>10</v>
      </c>
      <c r="N8" s="579" t="s">
        <v>9</v>
      </c>
      <c r="O8" s="578" t="s">
        <v>11</v>
      </c>
      <c r="P8" s="18" t="s">
        <v>10</v>
      </c>
      <c r="Q8" s="578" t="s">
        <v>11</v>
      </c>
      <c r="S8" s="1"/>
      <c r="T8" s="7"/>
    </row>
    <row r="9" spans="3:20" ht="16.5" thickBot="1" x14ac:dyDescent="0.3">
      <c r="C9" s="17" t="s">
        <v>1273</v>
      </c>
      <c r="D9" s="570"/>
      <c r="E9" s="881">
        <f>'GLOBAL INPUTS'!F68</f>
        <v>0</v>
      </c>
      <c r="F9" s="742"/>
      <c r="J9" s="689" t="s">
        <v>41</v>
      </c>
      <c r="K9" s="1458"/>
      <c r="L9" s="1864">
        <f>E6</f>
        <v>0</v>
      </c>
      <c r="M9" s="1865"/>
      <c r="N9" s="1866" t="str">
        <f>IF($E$6="SB","WB",IF($E$6="NB","EB",IF($E$6="EB","SB","NB")))</f>
        <v>NB</v>
      </c>
      <c r="O9" s="1865"/>
      <c r="P9" s="1866" t="str">
        <f>IF($E$6="SB","NB",IF($E$6="NB","SB",IF($E$6="EB","WB","EB")))</f>
        <v>EB</v>
      </c>
      <c r="Q9" s="1865"/>
      <c r="S9" s="1"/>
      <c r="T9" s="7"/>
    </row>
    <row r="10" spans="3:20" ht="16.5" thickBot="1" x14ac:dyDescent="0.3">
      <c r="C10" s="1691" t="s">
        <v>1345</v>
      </c>
      <c r="D10" s="1692"/>
      <c r="E10" s="881">
        <f>'GLOBAL INPUTS'!F61</f>
        <v>0</v>
      </c>
      <c r="F10" s="742" t="s">
        <v>3</v>
      </c>
      <c r="J10" s="689"/>
      <c r="K10" s="1458"/>
      <c r="L10" s="744"/>
      <c r="M10" s="744"/>
      <c r="N10" s="1460"/>
      <c r="O10" s="744"/>
      <c r="P10" s="1460"/>
      <c r="Q10" s="1459"/>
      <c r="S10" s="1"/>
      <c r="T10" s="7"/>
    </row>
    <row r="11" spans="3:20" ht="16.5" thickBot="1" x14ac:dyDescent="0.3">
      <c r="C11" s="17" t="s">
        <v>1049</v>
      </c>
      <c r="D11" s="570"/>
      <c r="E11" s="881">
        <f>'GLOBAL INPUTS'!F63</f>
        <v>0</v>
      </c>
      <c r="F11" s="13" t="s">
        <v>708</v>
      </c>
      <c r="J11" s="562" t="s">
        <v>711</v>
      </c>
      <c r="K11" s="1461"/>
      <c r="L11" s="589">
        <f>'GLOBAL INPUTS'!S56</f>
        <v>0</v>
      </c>
      <c r="M11" s="588">
        <f>'GLOBAL INPUTS'!S57</f>
        <v>0</v>
      </c>
      <c r="N11" s="588">
        <f>'GLOBAL INPUTS'!S59</f>
        <v>0</v>
      </c>
      <c r="O11" s="588">
        <f>'GLOBAL INPUTS'!S61</f>
        <v>0</v>
      </c>
      <c r="P11" s="588">
        <f>'GLOBAL INPUTS'!S63</f>
        <v>0</v>
      </c>
      <c r="Q11" s="852">
        <f>'GLOBAL INPUTS'!S64</f>
        <v>0</v>
      </c>
      <c r="S11" s="1"/>
      <c r="T11" s="7"/>
    </row>
    <row r="12" spans="3:20" ht="16.5" thickBot="1" x14ac:dyDescent="0.3">
      <c r="C12" s="17" t="s">
        <v>1050</v>
      </c>
      <c r="D12" s="570"/>
      <c r="E12" s="881">
        <f>'GLOBAL INPUTS'!F64</f>
        <v>0</v>
      </c>
      <c r="F12" s="742" t="s">
        <v>708</v>
      </c>
      <c r="J12" s="689" t="s">
        <v>91</v>
      </c>
      <c r="K12" s="1458"/>
      <c r="L12" s="749">
        <f>L11*$E$9</f>
        <v>0</v>
      </c>
      <c r="M12" s="749">
        <f t="shared" ref="M12:Q12" si="0">M11*$E$9</f>
        <v>0</v>
      </c>
      <c r="N12" s="749">
        <f t="shared" si="0"/>
        <v>0</v>
      </c>
      <c r="O12" s="749">
        <f t="shared" si="0"/>
        <v>0</v>
      </c>
      <c r="P12" s="749">
        <f t="shared" si="0"/>
        <v>0</v>
      </c>
      <c r="Q12" s="495">
        <f t="shared" si="0"/>
        <v>0</v>
      </c>
      <c r="S12" s="1"/>
      <c r="T12" s="7"/>
    </row>
    <row r="13" spans="3:20" ht="15.75" x14ac:dyDescent="0.25">
      <c r="C13" s="17" t="s">
        <v>61</v>
      </c>
      <c r="D13" s="570"/>
      <c r="E13" s="571">
        <f>'GLOBAL INPUTS'!F65</f>
        <v>0</v>
      </c>
      <c r="F13" s="742" t="s">
        <v>1006</v>
      </c>
      <c r="J13" s="1462" t="s">
        <v>31</v>
      </c>
      <c r="K13" s="603"/>
      <c r="L13" s="329" t="e">
        <f t="shared" ref="L13:M13" si="1">ROUND(L12/$E$7,0)</f>
        <v>#DIV/0!</v>
      </c>
      <c r="M13" s="595" t="e">
        <f t="shared" si="1"/>
        <v>#DIV/0!</v>
      </c>
      <c r="N13" s="595" t="e">
        <f>ROUND(N12/$E$7,0)</f>
        <v>#DIV/0!</v>
      </c>
      <c r="O13" s="595" t="e">
        <f>ROUND(O12/$E$7,0)</f>
        <v>#DIV/0!</v>
      </c>
      <c r="P13" s="595" t="e">
        <f>ROUND(P12/$E$7,0)</f>
        <v>#DIV/0!</v>
      </c>
      <c r="Q13" s="1260" t="e">
        <f>ROUND(Q12/$E$7,0)</f>
        <v>#DIV/0!</v>
      </c>
      <c r="S13" s="1"/>
      <c r="T13" s="7"/>
    </row>
    <row r="14" spans="3:20" ht="16.5" thickBot="1" x14ac:dyDescent="0.3">
      <c r="C14" s="17" t="s">
        <v>1074</v>
      </c>
      <c r="D14" s="570"/>
      <c r="E14" s="881">
        <f>'GLOBAL INPUTS'!F66</f>
        <v>0</v>
      </c>
      <c r="F14" s="742"/>
      <c r="G14" s="1681"/>
      <c r="H14" s="1681"/>
      <c r="J14" s="1463" t="s">
        <v>57</v>
      </c>
      <c r="K14" s="603"/>
      <c r="L14" s="752" t="e">
        <f t="shared" ref="L14:M14" si="2">ROUND(L13*(1+$E$8/100),0)</f>
        <v>#DIV/0!</v>
      </c>
      <c r="M14" s="753" t="e">
        <f t="shared" si="2"/>
        <v>#DIV/0!</v>
      </c>
      <c r="N14" s="753" t="e">
        <f>ROUND(N13*(1+$E$8/100),0)</f>
        <v>#DIV/0!</v>
      </c>
      <c r="O14" s="753" t="e">
        <f>ROUND(O13*(1+$E$8/100),0)</f>
        <v>#DIV/0!</v>
      </c>
      <c r="P14" s="753" t="e">
        <f>ROUND(P13*(1+$E$8/100),0)</f>
        <v>#DIV/0!</v>
      </c>
      <c r="Q14" s="1320" t="e">
        <f>ROUND(Q13*(1+$E$8/100),0)</f>
        <v>#DIV/0!</v>
      </c>
      <c r="S14" s="1"/>
      <c r="T14" s="7"/>
    </row>
    <row r="15" spans="3:20" ht="15.75" thickBot="1" x14ac:dyDescent="0.3">
      <c r="C15" s="17" t="str">
        <f>'GLOBAL INPUTS'!D67</f>
        <v xml:space="preserve">Coordination arrival type on major road (1=poor; 6=outstanding) </v>
      </c>
      <c r="D15" s="570"/>
      <c r="E15" s="1464">
        <f>'GLOBAL INPUTS'!F67</f>
        <v>0</v>
      </c>
      <c r="F15" s="13"/>
      <c r="G15" s="14"/>
      <c r="J15" s="1465" t="s">
        <v>1065</v>
      </c>
      <c r="K15" s="754"/>
      <c r="L15" s="755" t="e">
        <f>L84</f>
        <v>#DIV/0!</v>
      </c>
      <c r="M15" s="755" t="e">
        <f>L82</f>
        <v>#DIV/0!</v>
      </c>
      <c r="N15" s="757" t="e">
        <f>L87</f>
        <v>#DIV/0!</v>
      </c>
      <c r="O15" s="756" t="e">
        <f>L86</f>
        <v>#DIV/0!</v>
      </c>
      <c r="P15" s="755" t="e">
        <f>L83</f>
        <v>#DIV/0!</v>
      </c>
      <c r="Q15" s="756">
        <f>L85</f>
        <v>0</v>
      </c>
      <c r="S15" s="1"/>
      <c r="T15" s="1"/>
    </row>
    <row r="16" spans="3:20" ht="16.5" thickBot="1" x14ac:dyDescent="0.3">
      <c r="C16" s="19" t="s">
        <v>1281</v>
      </c>
      <c r="D16" s="666"/>
      <c r="E16" s="1264">
        <f>'GLOBAL INPUTS'!F57</f>
        <v>0</v>
      </c>
      <c r="F16" s="766" t="s">
        <v>1035</v>
      </c>
      <c r="J16" s="1465"/>
      <c r="K16" s="754"/>
      <c r="L16" s="322"/>
      <c r="M16" s="322"/>
      <c r="N16" s="322"/>
      <c r="O16" s="604"/>
      <c r="P16" s="322"/>
      <c r="Q16" s="604"/>
      <c r="S16" s="1"/>
      <c r="T16" s="1"/>
    </row>
    <row r="17" spans="5:20" ht="15.75" x14ac:dyDescent="0.25">
      <c r="F17" s="21"/>
      <c r="J17" s="1465" t="s">
        <v>1244</v>
      </c>
      <c r="K17" s="754"/>
      <c r="L17" s="760" t="e">
        <f t="shared" ref="L17:M17" si="3">L15+L16</f>
        <v>#DIV/0!</v>
      </c>
      <c r="M17" s="760" t="e">
        <f t="shared" si="3"/>
        <v>#DIV/0!</v>
      </c>
      <c r="N17" s="762" t="e">
        <f>N15+N16</f>
        <v>#DIV/0!</v>
      </c>
      <c r="O17" s="761" t="e">
        <f>O15+O16</f>
        <v>#DIV/0!</v>
      </c>
      <c r="P17" s="760" t="e">
        <f>P15+P16</f>
        <v>#DIV/0!</v>
      </c>
      <c r="Q17" s="761">
        <f>Q15+Q16</f>
        <v>0</v>
      </c>
      <c r="S17" s="1"/>
      <c r="T17" s="2"/>
    </row>
    <row r="18" spans="5:20" ht="16.5" thickBot="1" x14ac:dyDescent="0.3">
      <c r="J18" s="1465" t="s">
        <v>1077</v>
      </c>
      <c r="K18" s="754"/>
      <c r="L18" s="203"/>
      <c r="M18" s="610"/>
      <c r="N18" s="612"/>
      <c r="O18" s="611"/>
      <c r="P18" s="610"/>
      <c r="Q18" s="611"/>
      <c r="S18" s="1"/>
      <c r="T18" s="1"/>
    </row>
    <row r="19" spans="5:20" ht="15.75" thickBot="1" x14ac:dyDescent="0.3">
      <c r="J19" s="1466" t="s">
        <v>95</v>
      </c>
      <c r="K19" s="763"/>
      <c r="L19" s="764" t="e">
        <f>VLOOKUP(L17,$G$23:$H$28,2,TRUE)</f>
        <v>#DIV/0!</v>
      </c>
      <c r="M19" s="764" t="e">
        <f t="shared" ref="M19" si="4">VLOOKUP(M17,$G$23:$H$28,2,TRUE)</f>
        <v>#DIV/0!</v>
      </c>
      <c r="N19" s="764" t="e">
        <f>VLOOKUP(N17,$G$23:$H$28,2,TRUE)</f>
        <v>#DIV/0!</v>
      </c>
      <c r="O19" s="764" t="e">
        <f>VLOOKUP(O17,$G$23:$H$28,2,TRUE)</f>
        <v>#DIV/0!</v>
      </c>
      <c r="P19" s="764" t="e">
        <f>VLOOKUP(P17,$G$23:$H$28,2,TRUE)</f>
        <v>#DIV/0!</v>
      </c>
      <c r="Q19" s="419" t="str">
        <f>VLOOKUP(Q17,$G$23:$H$28,2,TRUE)</f>
        <v>A</v>
      </c>
      <c r="S19" s="1"/>
      <c r="T19" s="1"/>
    </row>
    <row r="20" spans="5:20" ht="19.5" thickBot="1" x14ac:dyDescent="0.35">
      <c r="L20" s="767" t="s">
        <v>76</v>
      </c>
      <c r="M20" s="768"/>
      <c r="N20" s="769"/>
      <c r="O20" s="1134" t="e">
        <f>SUMPRODUCT(L17:Q17,L14:Q14)/SUM(L14:Q14)</f>
        <v>#DIV/0!</v>
      </c>
      <c r="P20" s="1135" t="e">
        <f>VLOOKUP(O20,G23:H28,2,TRUE)</f>
        <v>#DIV/0!</v>
      </c>
      <c r="Q20" s="419"/>
      <c r="S20" s="1"/>
      <c r="T20" s="1"/>
    </row>
    <row r="21" spans="5:20" ht="19.5" thickBot="1" x14ac:dyDescent="0.35">
      <c r="G21" s="1706" t="s">
        <v>761</v>
      </c>
      <c r="H21" s="1707"/>
      <c r="L21" s="262" t="s">
        <v>762</v>
      </c>
      <c r="M21" s="193"/>
      <c r="N21" s="194"/>
      <c r="O21" s="1467" t="e">
        <f>L88</f>
        <v>#DIV/0!</v>
      </c>
      <c r="P21" s="1135" t="e">
        <f>VLOOKUP(O21,G23:H28,2,TRUE)</f>
        <v>#DIV/0!</v>
      </c>
      <c r="Q21" s="195"/>
    </row>
    <row r="22" spans="5:20" ht="18.75" x14ac:dyDescent="0.3">
      <c r="G22" s="1708" t="s">
        <v>94</v>
      </c>
      <c r="H22" s="1709"/>
      <c r="L22" s="27"/>
      <c r="M22" s="27"/>
      <c r="N22" s="27"/>
      <c r="O22" s="27"/>
      <c r="P22" s="195"/>
      <c r="Q22" s="195"/>
    </row>
    <row r="23" spans="5:20" x14ac:dyDescent="0.25">
      <c r="G23" s="911">
        <v>0</v>
      </c>
      <c r="H23" s="759" t="s">
        <v>16</v>
      </c>
      <c r="J23" s="258"/>
      <c r="K23" s="258"/>
      <c r="L23" s="18"/>
      <c r="M23" s="18"/>
      <c r="N23" s="18"/>
      <c r="O23" s="18"/>
    </row>
    <row r="24" spans="5:20" x14ac:dyDescent="0.25">
      <c r="G24" s="911">
        <v>10</v>
      </c>
      <c r="H24" s="759" t="s">
        <v>17</v>
      </c>
      <c r="J24" s="258"/>
      <c r="K24" s="258"/>
      <c r="L24" s="18"/>
      <c r="M24" s="18"/>
      <c r="N24" s="18"/>
      <c r="O24" s="18"/>
      <c r="P24" s="18"/>
      <c r="Q24" s="18"/>
    </row>
    <row r="25" spans="5:20" ht="15.75" thickBot="1" x14ac:dyDescent="0.3">
      <c r="G25" s="911">
        <v>20</v>
      </c>
      <c r="H25" s="759" t="s">
        <v>18</v>
      </c>
      <c r="J25" s="258"/>
      <c r="K25" s="258"/>
      <c r="L25" s="18"/>
      <c r="M25" s="18"/>
      <c r="N25" s="18"/>
      <c r="O25" s="18"/>
    </row>
    <row r="26" spans="5:20" ht="19.5" thickBot="1" x14ac:dyDescent="0.35">
      <c r="G26" s="911">
        <v>35</v>
      </c>
      <c r="H26" s="759" t="s">
        <v>19</v>
      </c>
      <c r="J26" s="1703" t="s">
        <v>1076</v>
      </c>
      <c r="K26" s="1704"/>
      <c r="L26" s="1704"/>
      <c r="M26" s="1705"/>
      <c r="N26" s="158"/>
      <c r="O26" s="158"/>
      <c r="P26" s="195"/>
    </row>
    <row r="27" spans="5:20" ht="21.75" thickBot="1" x14ac:dyDescent="0.4">
      <c r="G27" s="911">
        <v>55</v>
      </c>
      <c r="H27" s="759" t="s">
        <v>20</v>
      </c>
      <c r="J27" s="1137" t="s">
        <v>325</v>
      </c>
      <c r="K27" s="1138"/>
      <c r="L27" s="1138"/>
      <c r="M27" s="940">
        <f>E13*0.95</f>
        <v>0</v>
      </c>
      <c r="N27" s="1468"/>
    </row>
    <row r="28" spans="5:20" ht="15.75" thickBot="1" x14ac:dyDescent="0.3">
      <c r="G28" s="911">
        <v>80</v>
      </c>
      <c r="H28" s="759" t="s">
        <v>21</v>
      </c>
    </row>
    <row r="29" spans="5:20" ht="16.5" thickBot="1" x14ac:dyDescent="0.3">
      <c r="J29" s="1871" t="s">
        <v>955</v>
      </c>
      <c r="K29" s="561"/>
      <c r="L29" s="1713" t="s">
        <v>100</v>
      </c>
      <c r="M29" s="1714"/>
      <c r="O29" s="1648"/>
      <c r="P29" s="1648"/>
      <c r="Q29" s="774"/>
    </row>
    <row r="30" spans="5:20" ht="16.5" thickBot="1" x14ac:dyDescent="0.3">
      <c r="J30" s="1872"/>
      <c r="K30" s="666"/>
      <c r="L30" s="1469"/>
      <c r="M30" s="1470" t="s">
        <v>763</v>
      </c>
      <c r="N30" s="18"/>
      <c r="O30" s="24"/>
      <c r="P30" s="24"/>
      <c r="Q30" s="18"/>
    </row>
    <row r="31" spans="5:20" ht="15.75" x14ac:dyDescent="0.25">
      <c r="J31" s="560" t="s">
        <v>764</v>
      </c>
      <c r="K31" s="1169" t="str">
        <f>CONCATENATE($L$9,"T")</f>
        <v>0T</v>
      </c>
      <c r="L31" s="12"/>
      <c r="M31" s="1471">
        <f>IF(L31=1,1,IF(L31=2,1/0.95,1/0.91))</f>
        <v>1.0989010989010988</v>
      </c>
      <c r="N31" s="18"/>
      <c r="Q31" s="18"/>
    </row>
    <row r="32" spans="5:20" ht="15.75" x14ac:dyDescent="0.25">
      <c r="E32" s="276" t="s">
        <v>1377</v>
      </c>
      <c r="J32" s="17" t="s">
        <v>765</v>
      </c>
      <c r="K32" s="1472" t="str">
        <f>CONCATENATE($P$9,"T")</f>
        <v>EBT</v>
      </c>
      <c r="L32" s="37"/>
      <c r="M32" s="1473">
        <f t="shared" ref="M32:M36" si="5">IF(L32=1,1,IF(L32=2,1/0.95,1/0.91))</f>
        <v>1.0989010989010988</v>
      </c>
      <c r="N32" s="18"/>
      <c r="Q32" s="18"/>
    </row>
    <row r="33" spans="2:25" ht="15.75" x14ac:dyDescent="0.25">
      <c r="E33" s="15" t="s">
        <v>1236</v>
      </c>
      <c r="J33" s="17" t="s">
        <v>766</v>
      </c>
      <c r="K33" s="1472" t="str">
        <f>CONCATENATE($L$9,"L")</f>
        <v>0L</v>
      </c>
      <c r="L33" s="37"/>
      <c r="M33" s="1473">
        <f t="shared" si="5"/>
        <v>1.0989010989010988</v>
      </c>
      <c r="N33" s="18"/>
      <c r="Q33" s="18"/>
    </row>
    <row r="34" spans="2:25" ht="15.75" x14ac:dyDescent="0.25">
      <c r="J34" s="17" t="s">
        <v>767</v>
      </c>
      <c r="K34" s="1472" t="str">
        <f>CONCATENATE($P$9,"R")</f>
        <v>EBR</v>
      </c>
      <c r="L34" s="37"/>
      <c r="M34" s="1473">
        <f t="shared" si="5"/>
        <v>1.0989010989010988</v>
      </c>
    </row>
    <row r="35" spans="2:25" ht="15.75" x14ac:dyDescent="0.25">
      <c r="E35" s="158"/>
      <c r="J35" s="17" t="s">
        <v>768</v>
      </c>
      <c r="K35" s="1472" t="str">
        <f>CONCATENATE($N$9,"R")</f>
        <v>NBR</v>
      </c>
      <c r="L35" s="37"/>
      <c r="M35" s="1473">
        <f t="shared" si="5"/>
        <v>1.0989010989010988</v>
      </c>
    </row>
    <row r="36" spans="2:25" ht="18" customHeight="1" thickBot="1" x14ac:dyDescent="0.3">
      <c r="C36" s="720"/>
      <c r="J36" s="19" t="s">
        <v>769</v>
      </c>
      <c r="K36" s="1472" t="str">
        <f>CONCATENATE($N$9,"L")</f>
        <v>NBL</v>
      </c>
      <c r="L36" s="36"/>
      <c r="M36" s="1474">
        <f t="shared" si="5"/>
        <v>1.0989010989010988</v>
      </c>
    </row>
    <row r="37" spans="2:25" ht="19.5" thickBot="1" x14ac:dyDescent="0.35">
      <c r="B37" s="27"/>
      <c r="C37" s="195"/>
      <c r="D37" s="27"/>
      <c r="E37" s="18"/>
      <c r="F37" s="18"/>
      <c r="G37" s="18"/>
      <c r="H37" s="18"/>
      <c r="J37" s="461"/>
      <c r="K37" s="461"/>
      <c r="L37" s="1777" t="s">
        <v>770</v>
      </c>
      <c r="M37" s="1778"/>
      <c r="N37" s="774"/>
      <c r="O37" s="774"/>
      <c r="P37" s="774"/>
    </row>
    <row r="38" spans="2:25" ht="18.75" x14ac:dyDescent="0.3">
      <c r="B38" s="27"/>
      <c r="C38" s="195"/>
      <c r="D38" s="27"/>
      <c r="E38" s="18"/>
      <c r="F38" s="18"/>
      <c r="G38" s="18"/>
      <c r="H38" s="18"/>
      <c r="J38" s="560" t="s">
        <v>771</v>
      </c>
      <c r="K38" s="484"/>
      <c r="L38" s="731" t="e">
        <f>M14</f>
        <v>#DIV/0!</v>
      </c>
      <c r="M38" s="678"/>
      <c r="N38" s="18"/>
      <c r="O38" s="18"/>
      <c r="P38" s="18"/>
      <c r="Q38" s="18"/>
    </row>
    <row r="39" spans="2:25" ht="18.75" x14ac:dyDescent="0.3">
      <c r="B39" s="27"/>
      <c r="C39" s="195"/>
      <c r="D39" s="27"/>
      <c r="E39" s="18"/>
      <c r="F39" s="18"/>
      <c r="G39" s="18"/>
      <c r="H39" s="158"/>
      <c r="J39" s="17" t="s">
        <v>772</v>
      </c>
      <c r="L39" s="18" t="e">
        <f>P14+IF(L34=0,Q14,0)</f>
        <v>#DIV/0!</v>
      </c>
      <c r="M39" s="578"/>
      <c r="N39" s="18"/>
      <c r="O39" s="18"/>
      <c r="P39" s="18"/>
      <c r="Q39" s="18"/>
    </row>
    <row r="40" spans="2:25" ht="18.75" x14ac:dyDescent="0.3">
      <c r="B40" s="27"/>
      <c r="C40" s="195"/>
      <c r="D40" s="27"/>
      <c r="E40" s="18"/>
      <c r="F40" s="18"/>
      <c r="G40" s="18"/>
      <c r="H40" s="158"/>
      <c r="J40" s="17" t="s">
        <v>773</v>
      </c>
      <c r="L40" s="20" t="e">
        <f>L14</f>
        <v>#DIV/0!</v>
      </c>
      <c r="M40" s="578"/>
      <c r="N40" s="18"/>
      <c r="O40" s="20"/>
      <c r="P40" s="18"/>
      <c r="Q40" s="18"/>
    </row>
    <row r="41" spans="2:25" x14ac:dyDescent="0.25">
      <c r="B41" s="1158"/>
      <c r="C41" s="1159"/>
      <c r="D41" s="1160"/>
      <c r="E41" s="1161"/>
      <c r="F41" s="1161"/>
      <c r="G41" s="1161"/>
      <c r="H41" s="1161"/>
      <c r="J41" s="17" t="s">
        <v>774</v>
      </c>
      <c r="L41" s="20">
        <f>IF(L34=0,0,Q14)</f>
        <v>0</v>
      </c>
      <c r="M41" s="578"/>
      <c r="N41" s="18"/>
      <c r="O41" s="20"/>
      <c r="P41" s="18"/>
      <c r="Q41" s="18"/>
    </row>
    <row r="42" spans="2:25" x14ac:dyDescent="0.25">
      <c r="B42" s="1158"/>
      <c r="C42" s="1159"/>
      <c r="D42" s="1160"/>
      <c r="E42" s="1161"/>
      <c r="F42" s="1161"/>
      <c r="G42" s="1161"/>
      <c r="H42" s="1161"/>
      <c r="J42" s="17" t="s">
        <v>775</v>
      </c>
      <c r="L42" s="20" t="e">
        <f>O14</f>
        <v>#DIV/0!</v>
      </c>
      <c r="M42" s="578"/>
      <c r="N42" s="18"/>
      <c r="O42" s="20"/>
      <c r="P42" s="18"/>
      <c r="Q42" s="18"/>
    </row>
    <row r="43" spans="2:25" ht="15.75" thickBot="1" x14ac:dyDescent="0.3">
      <c r="B43" s="1158"/>
      <c r="C43" s="1159"/>
      <c r="D43" s="1160"/>
      <c r="E43" s="1161"/>
      <c r="F43" s="1161"/>
      <c r="G43" s="1161"/>
      <c r="H43" s="1161"/>
      <c r="J43" s="19" t="s">
        <v>776</v>
      </c>
      <c r="K43" s="248"/>
      <c r="L43" s="671" t="e">
        <f>N14</f>
        <v>#DIV/0!</v>
      </c>
      <c r="M43" s="679"/>
      <c r="N43" s="18"/>
      <c r="O43" s="20"/>
      <c r="P43" s="18"/>
      <c r="Q43" s="18"/>
    </row>
    <row r="44" spans="2:25" ht="15.75" thickBot="1" x14ac:dyDescent="0.3">
      <c r="B44" s="1158"/>
      <c r="C44" s="1159"/>
      <c r="D44" s="1160"/>
      <c r="E44" s="1161"/>
      <c r="F44" s="1161"/>
      <c r="G44" s="1161"/>
      <c r="H44" s="1161"/>
      <c r="J44" s="17" t="s">
        <v>777</v>
      </c>
      <c r="L44" s="20" t="e">
        <f>L39/L32+L40/L33+L43/L36</f>
        <v>#DIV/0!</v>
      </c>
      <c r="M44" s="578" t="e">
        <f>IF(L44&lt;M27/1.18,"ok","overcap")</f>
        <v>#DIV/0!</v>
      </c>
      <c r="N44" s="18"/>
      <c r="O44" s="20"/>
      <c r="P44" s="18"/>
      <c r="Q44" s="18"/>
    </row>
    <row r="45" spans="2:25" x14ac:dyDescent="0.25">
      <c r="J45" s="560" t="s">
        <v>1237</v>
      </c>
      <c r="K45" s="484"/>
      <c r="L45" s="713">
        <v>1.18</v>
      </c>
      <c r="M45" s="843"/>
      <c r="N45" s="18"/>
      <c r="O45" s="20"/>
      <c r="P45" s="18"/>
      <c r="Q45" s="18"/>
    </row>
    <row r="46" spans="2:25" ht="19.5" thickBot="1" x14ac:dyDescent="0.35">
      <c r="B46" s="27"/>
      <c r="C46" s="195"/>
      <c r="D46" s="27"/>
      <c r="E46" s="18"/>
      <c r="F46" s="18"/>
      <c r="G46" s="18"/>
      <c r="H46" s="18"/>
      <c r="J46" s="19" t="s">
        <v>1238</v>
      </c>
      <c r="K46" s="248"/>
      <c r="L46" s="718">
        <v>1.05</v>
      </c>
      <c r="M46" s="928"/>
      <c r="N46" s="18"/>
      <c r="O46" s="20"/>
      <c r="P46" s="20"/>
      <c r="Q46" s="18"/>
      <c r="R46" s="22"/>
      <c r="S46" s="23"/>
      <c r="T46" s="23"/>
      <c r="U46" s="22"/>
      <c r="V46" s="23"/>
      <c r="W46" s="23"/>
      <c r="X46" s="22"/>
      <c r="Y46" s="23"/>
    </row>
    <row r="47" spans="2:25" x14ac:dyDescent="0.25">
      <c r="J47" s="560" t="s">
        <v>778</v>
      </c>
      <c r="K47" s="484"/>
      <c r="L47" s="713" t="e">
        <f>(L38*M31)/(L31*$M$27)</f>
        <v>#DIV/0!</v>
      </c>
      <c r="M47" s="678"/>
      <c r="N47" s="18"/>
      <c r="O47" s="309"/>
      <c r="P47" s="309"/>
      <c r="Q47" s="18"/>
      <c r="R47" s="25"/>
      <c r="S47" s="25"/>
      <c r="T47" s="25"/>
      <c r="U47" s="25"/>
      <c r="V47" s="25"/>
      <c r="W47" s="25"/>
      <c r="X47" s="25"/>
      <c r="Y47" s="25"/>
    </row>
    <row r="48" spans="2:25" x14ac:dyDescent="0.25">
      <c r="J48" s="17" t="s">
        <v>779</v>
      </c>
      <c r="L48" s="308" t="e">
        <f>(L39*M32)/(L32*$M$27)</f>
        <v>#DIV/0!</v>
      </c>
      <c r="M48" s="578"/>
      <c r="N48" s="18"/>
      <c r="O48" s="309"/>
      <c r="P48" s="309"/>
      <c r="Q48" s="18"/>
      <c r="R48" s="26"/>
      <c r="S48" s="26"/>
      <c r="T48" s="26"/>
      <c r="U48" s="25"/>
      <c r="V48" s="26"/>
      <c r="W48" s="26"/>
      <c r="X48" s="26"/>
      <c r="Y48" s="26"/>
    </row>
    <row r="49" spans="2:25" x14ac:dyDescent="0.25">
      <c r="J49" s="17" t="s">
        <v>780</v>
      </c>
      <c r="L49" s="308" t="e">
        <f>(L40*L46*M33)/(L33*$M$27)</f>
        <v>#DIV/0!</v>
      </c>
      <c r="M49" s="578"/>
      <c r="N49" s="18"/>
      <c r="O49" s="309"/>
      <c r="P49" s="309"/>
      <c r="Q49" s="18"/>
      <c r="R49" s="26"/>
      <c r="S49" s="26"/>
      <c r="T49" s="26"/>
      <c r="U49" s="25"/>
      <c r="V49" s="26"/>
      <c r="W49" s="26"/>
      <c r="X49" s="26"/>
      <c r="Y49" s="26"/>
    </row>
    <row r="50" spans="2:25" ht="15.75" x14ac:dyDescent="0.25">
      <c r="F50" s="682"/>
      <c r="J50" s="17" t="s">
        <v>781</v>
      </c>
      <c r="L50" s="308">
        <f>IF(L34=0,0,(L41*L45*M34)/(L34*$M$27))</f>
        <v>0</v>
      </c>
      <c r="M50" s="578"/>
      <c r="N50" s="18"/>
      <c r="O50" s="309"/>
      <c r="P50" s="309"/>
      <c r="Q50" s="18"/>
      <c r="R50" s="26"/>
      <c r="S50" s="26"/>
      <c r="T50" s="26"/>
      <c r="U50" s="25"/>
      <c r="V50" s="26"/>
      <c r="W50" s="26"/>
      <c r="X50" s="26"/>
      <c r="Y50" s="26"/>
    </row>
    <row r="51" spans="2:25" ht="15.75" x14ac:dyDescent="0.25">
      <c r="F51" s="682"/>
      <c r="J51" s="17" t="s">
        <v>782</v>
      </c>
      <c r="L51" s="308" t="e">
        <f>(L42*L45*M35)/(L35*$M$27)</f>
        <v>#DIV/0!</v>
      </c>
      <c r="M51" s="578"/>
      <c r="N51" s="18"/>
      <c r="O51" s="309"/>
      <c r="P51" s="309"/>
      <c r="Q51" s="18"/>
      <c r="R51" s="26"/>
      <c r="S51" s="26"/>
      <c r="T51" s="26"/>
      <c r="U51" s="25"/>
      <c r="V51" s="26"/>
      <c r="W51" s="26"/>
      <c r="X51" s="26"/>
      <c r="Y51" s="26"/>
    </row>
    <row r="52" spans="2:25" ht="16.5" thickBot="1" x14ac:dyDescent="0.3">
      <c r="B52" s="400"/>
      <c r="J52" s="19" t="s">
        <v>783</v>
      </c>
      <c r="K52" s="248"/>
      <c r="L52" s="718" t="e">
        <f>(L43*L46*M36)/(L36*$M$27)</f>
        <v>#DIV/0!</v>
      </c>
      <c r="M52" s="679"/>
      <c r="N52" s="18"/>
      <c r="O52" s="27"/>
      <c r="P52" s="27"/>
      <c r="Q52" s="18"/>
    </row>
    <row r="53" spans="2:25" ht="19.5" thickBot="1" x14ac:dyDescent="0.35">
      <c r="H53" s="572"/>
      <c r="J53" s="591" t="s">
        <v>110</v>
      </c>
      <c r="K53" s="591"/>
      <c r="L53" s="1475" t="e">
        <f>MAX(L48+L49+L52,L51+L48,L49+L50,L51+L50)</f>
        <v>#DIV/0!</v>
      </c>
      <c r="M53" s="1476"/>
      <c r="N53" s="1477"/>
      <c r="O53" s="1863"/>
      <c r="P53" s="1863"/>
      <c r="Q53" s="1477"/>
    </row>
    <row r="54" spans="2:25" ht="16.5" thickBot="1" x14ac:dyDescent="0.3">
      <c r="G54" s="1190"/>
      <c r="H54" s="572"/>
      <c r="J54" s="1695" t="s">
        <v>34</v>
      </c>
      <c r="K54" s="1696"/>
      <c r="L54" s="1696"/>
      <c r="M54" s="1696"/>
      <c r="N54" s="27"/>
      <c r="O54" s="27"/>
      <c r="P54" s="27"/>
      <c r="Q54" s="27"/>
    </row>
    <row r="55" spans="2:25" ht="19.5" thickBot="1" x14ac:dyDescent="0.35">
      <c r="J55" s="461" t="s">
        <v>180</v>
      </c>
      <c r="K55" s="227"/>
      <c r="L55" s="1478" t="e">
        <f>IF(L53&gt;0.85,E12,MAX(E11,15*0.85/(0.85-L53)))</f>
        <v>#DIV/0!</v>
      </c>
      <c r="M55" s="685"/>
      <c r="N55" s="18"/>
      <c r="O55" s="1869"/>
      <c r="P55" s="1869"/>
      <c r="Q55" s="18"/>
    </row>
    <row r="56" spans="2:25" ht="19.5" thickBot="1" x14ac:dyDescent="0.35">
      <c r="J56" s="1479" t="s">
        <v>113</v>
      </c>
      <c r="K56" s="1480"/>
      <c r="L56" s="6"/>
      <c r="M56" s="977"/>
      <c r="N56" s="24"/>
      <c r="O56" s="1870"/>
      <c r="P56" s="1870"/>
      <c r="Q56" s="24"/>
    </row>
    <row r="57" spans="2:25" ht="18.75" x14ac:dyDescent="0.3">
      <c r="J57" s="560" t="s">
        <v>784</v>
      </c>
      <c r="K57" s="484"/>
      <c r="L57" s="1481">
        <f>L56</f>
        <v>0</v>
      </c>
      <c r="M57" s="678"/>
      <c r="N57" s="18"/>
      <c r="O57" s="1860"/>
      <c r="P57" s="1860"/>
      <c r="Q57" s="18"/>
    </row>
    <row r="58" spans="2:25" ht="16.5" thickBot="1" x14ac:dyDescent="0.3">
      <c r="J58" s="17" t="s">
        <v>785</v>
      </c>
      <c r="L58" s="1501"/>
      <c r="M58" s="578"/>
      <c r="N58" s="18"/>
      <c r="O58" s="67"/>
      <c r="P58" s="67"/>
      <c r="Q58" s="18"/>
    </row>
    <row r="59" spans="2:25" ht="15.75" x14ac:dyDescent="0.25">
      <c r="G59" s="692" t="s">
        <v>114</v>
      </c>
      <c r="H59" s="814"/>
      <c r="J59" s="17" t="s">
        <v>786</v>
      </c>
      <c r="L59" s="1501"/>
      <c r="M59" s="578"/>
      <c r="N59" s="18"/>
      <c r="O59" s="1861"/>
      <c r="P59" s="1861"/>
      <c r="Q59" s="18"/>
      <c r="S59" s="14"/>
      <c r="V59" s="14"/>
      <c r="Y59" s="14"/>
    </row>
    <row r="60" spans="2:25" ht="16.5" thickBot="1" x14ac:dyDescent="0.3">
      <c r="D60" s="309"/>
      <c r="G60" s="695" t="s">
        <v>787</v>
      </c>
      <c r="H60" s="817"/>
      <c r="J60" s="17" t="s">
        <v>788</v>
      </c>
      <c r="L60" s="1482">
        <f>IF(L34=0,L58,L58+L62)</f>
        <v>0</v>
      </c>
      <c r="M60" s="578"/>
      <c r="N60" s="18"/>
      <c r="O60" s="1867"/>
      <c r="P60" s="1867"/>
      <c r="Q60" s="18"/>
      <c r="S60" s="14"/>
      <c r="V60" s="14"/>
      <c r="Y60" s="14"/>
    </row>
    <row r="61" spans="2:25" ht="16.5" thickBot="1" x14ac:dyDescent="0.3">
      <c r="J61" s="17" t="s">
        <v>789</v>
      </c>
      <c r="L61" s="1292">
        <f>L59+L62+5</f>
        <v>-10</v>
      </c>
      <c r="M61" s="570"/>
      <c r="O61" s="1868"/>
      <c r="P61" s="1868"/>
      <c r="S61" s="14"/>
      <c r="V61" s="14"/>
      <c r="Y61" s="14"/>
    </row>
    <row r="62" spans="2:25" ht="16.5" thickBot="1" x14ac:dyDescent="0.3">
      <c r="J62" s="19" t="s">
        <v>790</v>
      </c>
      <c r="K62" s="248"/>
      <c r="L62" s="1331">
        <f>L56-L58-L59-15</f>
        <v>-15</v>
      </c>
      <c r="M62" s="1470" t="s">
        <v>791</v>
      </c>
      <c r="N62" s="18"/>
      <c r="O62" s="1483"/>
      <c r="P62" s="1483"/>
      <c r="Q62" s="18"/>
    </row>
    <row r="63" spans="2:25" ht="15.75" x14ac:dyDescent="0.25">
      <c r="J63" s="1209" t="s">
        <v>784</v>
      </c>
      <c r="K63" s="1393"/>
      <c r="L63" s="1293">
        <f>L57</f>
        <v>0</v>
      </c>
      <c r="M63" s="1484" t="e">
        <f>$M$27*L31*L63/L56</f>
        <v>#DIV/0!</v>
      </c>
      <c r="N63" s="18"/>
      <c r="O63" s="1868"/>
      <c r="P63" s="1868"/>
      <c r="Q63" s="18"/>
    </row>
    <row r="64" spans="2:25" ht="16.5" thickBot="1" x14ac:dyDescent="0.3">
      <c r="J64" s="1211" t="s">
        <v>785</v>
      </c>
      <c r="K64" s="1485"/>
      <c r="L64" s="1486" t="e">
        <f>$E$14*L58+(1-E14)*L48/L53*(L56-15)</f>
        <v>#DIV/0!</v>
      </c>
      <c r="M64" s="1487" t="e">
        <f>$M$27*L32*L64/L56</f>
        <v>#DIV/0!</v>
      </c>
      <c r="N64" s="1488"/>
      <c r="O64" s="1868"/>
      <c r="P64" s="1868"/>
      <c r="Q64" s="1488"/>
    </row>
    <row r="65" spans="5:17" ht="15.75" thickBot="1" x14ac:dyDescent="0.3">
      <c r="G65" s="1489" t="s">
        <v>792</v>
      </c>
      <c r="H65" s="1297"/>
      <c r="J65" s="1211" t="s">
        <v>786</v>
      </c>
      <c r="K65" s="1485"/>
      <c r="L65" s="1294" t="e">
        <f>E14*L59+(1-E14)*L49/L53*(L56-15)</f>
        <v>#DIV/0!</v>
      </c>
      <c r="M65" s="1487" t="e">
        <f>$M$27*L33*L65/L56</f>
        <v>#DIV/0!</v>
      </c>
      <c r="N65" s="18"/>
      <c r="O65" s="309"/>
      <c r="P65" s="309"/>
      <c r="Q65" s="18"/>
    </row>
    <row r="66" spans="5:17" x14ac:dyDescent="0.25">
      <c r="J66" s="1211" t="s">
        <v>788</v>
      </c>
      <c r="K66" s="1485"/>
      <c r="L66" s="1294" t="e">
        <f>E14*L60+(1-E14)*(IF(L34=0,L64,L64+L68+5))</f>
        <v>#DIV/0!</v>
      </c>
      <c r="M66" s="1487" t="e">
        <f>$M$27*L34*L66/L56</f>
        <v>#DIV/0!</v>
      </c>
      <c r="N66" s="18"/>
      <c r="O66" s="309"/>
      <c r="P66" s="309"/>
      <c r="Q66" s="18"/>
    </row>
    <row r="67" spans="5:17" x14ac:dyDescent="0.25">
      <c r="J67" s="1211" t="s">
        <v>789</v>
      </c>
      <c r="K67" s="1485"/>
      <c r="L67" s="1294" t="e">
        <f>E14*L61+(1-E14)*(L68+L65+5)</f>
        <v>#DIV/0!</v>
      </c>
      <c r="M67" s="1487" t="e">
        <f>$M$27*L35*L67/L56</f>
        <v>#DIV/0!</v>
      </c>
      <c r="N67" s="18"/>
      <c r="O67" s="309"/>
      <c r="P67" s="309"/>
      <c r="Q67" s="18"/>
    </row>
    <row r="68" spans="5:17" ht="15.75" thickBot="1" x14ac:dyDescent="0.3">
      <c r="J68" s="1232" t="s">
        <v>790</v>
      </c>
      <c r="K68" s="884"/>
      <c r="L68" s="1404" t="e">
        <f>E14*L62+(1-E14)*L52/L53*(L56-15)</f>
        <v>#DIV/0!</v>
      </c>
      <c r="M68" s="1490" t="e">
        <f>$M$27*L36*L68/L56</f>
        <v>#DIV/0!</v>
      </c>
      <c r="N68" s="18"/>
      <c r="O68" s="309"/>
      <c r="P68" s="309"/>
      <c r="Q68" s="18"/>
    </row>
    <row r="69" spans="5:17" ht="16.5" thickBot="1" x14ac:dyDescent="0.3">
      <c r="J69" s="1695" t="s">
        <v>124</v>
      </c>
      <c r="K69" s="1696"/>
      <c r="L69" s="1696"/>
      <c r="M69" s="1697"/>
      <c r="N69" s="18"/>
      <c r="O69" s="309"/>
      <c r="P69" s="309"/>
      <c r="Q69" s="18"/>
    </row>
    <row r="70" spans="5:17" x14ac:dyDescent="0.25">
      <c r="J70" s="560" t="s">
        <v>793</v>
      </c>
      <c r="K70" s="484"/>
      <c r="L70" s="1491" t="e">
        <f t="shared" ref="L70:L75" si="6">L47/(L63/$L$56)</f>
        <v>#DIV/0!</v>
      </c>
      <c r="M70" s="678"/>
      <c r="N70" s="1492"/>
      <c r="O70" s="309"/>
      <c r="P70" s="309"/>
      <c r="Q70" s="31"/>
    </row>
    <row r="71" spans="5:17" x14ac:dyDescent="0.25">
      <c r="J71" s="17" t="s">
        <v>794</v>
      </c>
      <c r="L71" s="965" t="e">
        <f t="shared" si="6"/>
        <v>#DIV/0!</v>
      </c>
      <c r="M71" s="1493"/>
      <c r="N71" s="1492"/>
      <c r="O71" s="309"/>
      <c r="P71" s="309"/>
      <c r="Q71" s="31"/>
    </row>
    <row r="72" spans="5:17" x14ac:dyDescent="0.25">
      <c r="J72" s="17" t="s">
        <v>795</v>
      </c>
      <c r="L72" s="965" t="e">
        <f t="shared" si="6"/>
        <v>#DIV/0!</v>
      </c>
      <c r="M72" s="578"/>
      <c r="N72" s="1492"/>
      <c r="O72" s="309"/>
      <c r="P72" s="309"/>
      <c r="Q72" s="31"/>
    </row>
    <row r="73" spans="5:17" x14ac:dyDescent="0.25">
      <c r="J73" s="17" t="s">
        <v>796</v>
      </c>
      <c r="L73" s="965" t="e">
        <f t="shared" si="6"/>
        <v>#DIV/0!</v>
      </c>
      <c r="M73" s="578"/>
      <c r="N73" s="1492"/>
      <c r="O73" s="837"/>
      <c r="P73" s="837"/>
      <c r="Q73" s="18"/>
    </row>
    <row r="74" spans="5:17" x14ac:dyDescent="0.25">
      <c r="J74" s="17" t="s">
        <v>797</v>
      </c>
      <c r="L74" s="965" t="e">
        <f t="shared" si="6"/>
        <v>#DIV/0!</v>
      </c>
      <c r="M74" s="578"/>
      <c r="N74" s="1492"/>
      <c r="O74" s="837"/>
      <c r="P74" s="837"/>
      <c r="Q74" s="18"/>
    </row>
    <row r="75" spans="5:17" ht="15.75" thickBot="1" x14ac:dyDescent="0.3">
      <c r="J75" s="19" t="s">
        <v>798</v>
      </c>
      <c r="K75" s="248"/>
      <c r="L75" s="1494" t="e">
        <f t="shared" si="6"/>
        <v>#DIV/0!</v>
      </c>
      <c r="M75" s="679"/>
      <c r="N75" s="1492"/>
      <c r="O75" s="837"/>
      <c r="P75" s="837"/>
      <c r="Q75" s="18"/>
    </row>
    <row r="76" spans="5:17" x14ac:dyDescent="0.25">
      <c r="E76" s="315" t="s">
        <v>946</v>
      </c>
      <c r="F76" s="316" t="s">
        <v>948</v>
      </c>
      <c r="J76" s="560" t="s">
        <v>960</v>
      </c>
      <c r="K76" s="484"/>
      <c r="L76" s="713">
        <v>1</v>
      </c>
      <c r="M76" s="561"/>
      <c r="N76" s="18"/>
      <c r="O76" s="837"/>
      <c r="P76" s="837"/>
      <c r="Q76" s="18"/>
    </row>
    <row r="77" spans="5:17" x14ac:dyDescent="0.25">
      <c r="E77" s="317">
        <v>1</v>
      </c>
      <c r="F77" s="318">
        <v>0.33</v>
      </c>
      <c r="J77" s="17" t="s">
        <v>961</v>
      </c>
      <c r="L77" s="309" t="e">
        <f>MAX(0,(1-VLOOKUP($E$15,$E$77:$F$82,2,FALSE)*L64/$L$56)/(1-L64/$L$56))</f>
        <v>#N/A</v>
      </c>
      <c r="M77" s="570"/>
      <c r="N77" s="18"/>
      <c r="O77" s="837"/>
      <c r="P77" s="837"/>
      <c r="Q77" s="18"/>
    </row>
    <row r="78" spans="5:17" x14ac:dyDescent="0.25">
      <c r="E78" s="317">
        <v>2</v>
      </c>
      <c r="F78" s="318">
        <v>0.67</v>
      </c>
      <c r="J78" s="17" t="s">
        <v>962</v>
      </c>
      <c r="L78" s="309">
        <v>1</v>
      </c>
      <c r="M78" s="570"/>
      <c r="N78" s="18"/>
      <c r="O78" s="837"/>
      <c r="P78" s="18"/>
      <c r="Q78" s="18"/>
    </row>
    <row r="79" spans="5:17" x14ac:dyDescent="0.25">
      <c r="E79" s="317">
        <v>3</v>
      </c>
      <c r="F79" s="318">
        <v>1</v>
      </c>
      <c r="J79" s="17" t="s">
        <v>963</v>
      </c>
      <c r="L79" s="309" t="e">
        <f>L77</f>
        <v>#N/A</v>
      </c>
      <c r="M79" s="570"/>
      <c r="N79" s="18"/>
      <c r="O79" s="837"/>
      <c r="P79" s="18"/>
      <c r="Q79" s="18"/>
    </row>
    <row r="80" spans="5:17" x14ac:dyDescent="0.25">
      <c r="E80" s="317">
        <v>4</v>
      </c>
      <c r="F80" s="318">
        <v>1.33</v>
      </c>
      <c r="J80" s="17" t="s">
        <v>964</v>
      </c>
      <c r="L80" s="308">
        <v>1</v>
      </c>
      <c r="M80" s="570"/>
      <c r="N80" s="258"/>
      <c r="O80" s="14"/>
      <c r="P80" s="14"/>
      <c r="Q80" s="18"/>
    </row>
    <row r="81" spans="5:17" ht="15.75" thickBot="1" x14ac:dyDescent="0.3">
      <c r="E81" s="317">
        <v>5</v>
      </c>
      <c r="F81" s="318">
        <v>1.67</v>
      </c>
      <c r="J81" s="19" t="s">
        <v>965</v>
      </c>
      <c r="K81" s="248"/>
      <c r="L81" s="718">
        <v>1</v>
      </c>
      <c r="M81" s="666"/>
      <c r="N81" s="308"/>
      <c r="O81" s="308"/>
      <c r="P81" s="308"/>
      <c r="Q81" s="308"/>
    </row>
    <row r="82" spans="5:17" ht="16.5" thickBot="1" x14ac:dyDescent="0.3">
      <c r="E82" s="330">
        <v>6</v>
      </c>
      <c r="F82" s="331">
        <v>2</v>
      </c>
      <c r="J82" s="560" t="s">
        <v>799</v>
      </c>
      <c r="K82" s="484"/>
      <c r="L82" s="1495" t="e">
        <f>0.5*$L$56*(1-L63/$L$56)^2/(1-L47)+225*(L70-1+SQRT((L70-1)^2+16*L70/M63))</f>
        <v>#DIV/0!</v>
      </c>
      <c r="M82" s="678"/>
      <c r="N82" s="308"/>
      <c r="O82" s="308"/>
      <c r="P82" s="308"/>
      <c r="Q82" s="308"/>
    </row>
    <row r="83" spans="5:17" ht="15.75" x14ac:dyDescent="0.25">
      <c r="J83" s="17" t="s">
        <v>800</v>
      </c>
      <c r="L83" s="1122" t="e">
        <f>0.5*$L$56*(1-L64/$L$56)^2/(1-L48)+225*(L71-1+SQRT((L71-1)^2+16*L71/M64))</f>
        <v>#DIV/0!</v>
      </c>
      <c r="M83" s="578"/>
      <c r="N83" s="308"/>
      <c r="O83" s="308"/>
      <c r="P83" s="308"/>
      <c r="Q83" s="308"/>
    </row>
    <row r="84" spans="5:17" ht="15.75" x14ac:dyDescent="0.25">
      <c r="J84" s="17" t="s">
        <v>801</v>
      </c>
      <c r="L84" s="1122" t="e">
        <f>0.5*$L$56*(1-L65/$L$56)^2/(1-L49)+225*(L72-1+SQRT((L72-1)^2+16*L72/M65))</f>
        <v>#DIV/0!</v>
      </c>
      <c r="M84" s="578"/>
      <c r="N84" s="308"/>
      <c r="O84" s="308"/>
      <c r="P84" s="308"/>
      <c r="Q84" s="308"/>
    </row>
    <row r="85" spans="5:17" ht="15.75" x14ac:dyDescent="0.25">
      <c r="J85" s="17" t="s">
        <v>802</v>
      </c>
      <c r="L85" s="1122">
        <f>IF(L34=0,0,0.5*$L$56*(1-L66/$L$56)^2/(1-L50)+225*(L73-1+SQRT((L73-1)^2+16*L73/M66)))</f>
        <v>0</v>
      </c>
      <c r="M85" s="578"/>
      <c r="N85" s="308"/>
      <c r="O85" s="308"/>
      <c r="P85" s="308"/>
      <c r="Q85" s="308"/>
    </row>
    <row r="86" spans="5:17" ht="15.75" x14ac:dyDescent="0.25">
      <c r="J86" s="17" t="s">
        <v>803</v>
      </c>
      <c r="L86" s="1122" t="e">
        <f>0.5*$L$56*(1-L67/$L$56)^2/(1-L51)+225*(L74-1+SQRT((L74-1)^2+16*L74/M67))</f>
        <v>#DIV/0!</v>
      </c>
      <c r="M86" s="578"/>
      <c r="N86" s="308"/>
      <c r="O86" s="308"/>
      <c r="P86" s="308"/>
      <c r="Q86" s="308"/>
    </row>
    <row r="87" spans="5:17" ht="16.5" thickBot="1" x14ac:dyDescent="0.3">
      <c r="J87" s="19" t="s">
        <v>804</v>
      </c>
      <c r="K87" s="248"/>
      <c r="L87" s="1496" t="e">
        <f>0.5*$L$56*(1-L68/$L$56)^2/(1-L52)+225*(L75-1+SQRT((L75-1)^2+16*L75/M68))</f>
        <v>#DIV/0!</v>
      </c>
      <c r="M87" s="679" t="s">
        <v>805</v>
      </c>
      <c r="N87" s="308"/>
      <c r="O87" s="308"/>
      <c r="P87" s="308"/>
      <c r="Q87" s="308"/>
    </row>
    <row r="88" spans="5:17" ht="18.75" customHeight="1" thickBot="1" x14ac:dyDescent="0.35">
      <c r="J88" s="461" t="s">
        <v>806</v>
      </c>
      <c r="K88" s="461"/>
      <c r="L88" s="1497" t="e">
        <f>SUMPRODUCT(L83:L87,L39:L43)/SUM(L39:L43)</f>
        <v>#DIV/0!</v>
      </c>
      <c r="M88" s="923" t="e">
        <f>L53/(1-15/L56)</f>
        <v>#DIV/0!</v>
      </c>
      <c r="N88" s="33"/>
      <c r="O88" s="1862"/>
      <c r="P88" s="1862"/>
      <c r="Q88" s="33"/>
    </row>
    <row r="89" spans="5:17" ht="6.75" hidden="1" customHeight="1" x14ac:dyDescent="0.25">
      <c r="J89" s="560" t="s">
        <v>807</v>
      </c>
      <c r="K89" s="484"/>
      <c r="L89" s="1498" t="e">
        <f>ROUND(2*25*L82*M63/(3600*L31),0)</f>
        <v>#DIV/0!</v>
      </c>
      <c r="M89" s="678"/>
      <c r="N89" s="308"/>
      <c r="O89" s="20"/>
      <c r="P89" s="308"/>
      <c r="Q89" s="308"/>
    </row>
    <row r="90" spans="5:17" ht="19.5" customHeight="1" x14ac:dyDescent="0.25">
      <c r="J90" s="17" t="s">
        <v>808</v>
      </c>
      <c r="L90" s="1499" t="e">
        <f>ROUND(2*25*L83*M64/(3600*L32),0)</f>
        <v>#DIV/0!</v>
      </c>
      <c r="M90" s="578"/>
      <c r="N90" s="18"/>
      <c r="O90" s="276"/>
      <c r="P90" s="18"/>
      <c r="Q90" s="18"/>
    </row>
    <row r="91" spans="5:17" ht="18.75" customHeight="1" x14ac:dyDescent="0.25">
      <c r="J91" s="17" t="s">
        <v>809</v>
      </c>
      <c r="L91" s="1499" t="e">
        <f>ROUND(2*25*L84*M65/(3600*L33),0)</f>
        <v>#DIV/0!</v>
      </c>
      <c r="M91" s="578" t="e">
        <f>IF(L91&lt;E10,"OK","LOS-F")</f>
        <v>#DIV/0!</v>
      </c>
      <c r="N91" s="20"/>
      <c r="O91" s="20"/>
      <c r="P91" s="20"/>
      <c r="Q91" s="20"/>
    </row>
    <row r="92" spans="5:17" ht="15.75" x14ac:dyDescent="0.25">
      <c r="J92" s="17" t="s">
        <v>810</v>
      </c>
      <c r="L92" s="1499">
        <f>IF(L34=0,0,ROUND(2*25*L85*M66/(3600*L34),0))</f>
        <v>0</v>
      </c>
      <c r="M92" s="578"/>
      <c r="N92" s="20"/>
      <c r="O92" s="20"/>
      <c r="P92" s="20"/>
      <c r="Q92" s="20"/>
    </row>
    <row r="93" spans="5:17" ht="15.75" x14ac:dyDescent="0.25">
      <c r="J93" s="17" t="s">
        <v>811</v>
      </c>
      <c r="L93" s="1499" t="e">
        <f>ROUND(2*25*L86*M67/(3600*L35),0)</f>
        <v>#DIV/0!</v>
      </c>
      <c r="M93" s="578"/>
      <c r="N93" s="20"/>
      <c r="O93" s="20"/>
      <c r="P93" s="20"/>
      <c r="Q93" s="20"/>
    </row>
    <row r="94" spans="5:17" ht="16.5" thickBot="1" x14ac:dyDescent="0.3">
      <c r="J94" s="19" t="s">
        <v>812</v>
      </c>
      <c r="K94" s="248"/>
      <c r="L94" s="1500" t="e">
        <f>ROUND(2*25*L87*M68/(3600*L36),0)</f>
        <v>#DIV/0!</v>
      </c>
      <c r="M94" s="679"/>
      <c r="N94" s="20"/>
      <c r="O94" s="20"/>
      <c r="P94" s="20"/>
      <c r="Q94" s="20"/>
    </row>
    <row r="95" spans="5:17" x14ac:dyDescent="0.25">
      <c r="L95" s="20"/>
      <c r="M95" s="20"/>
      <c r="N95" s="20"/>
      <c r="O95" s="20"/>
      <c r="P95" s="20"/>
      <c r="Q95" s="20"/>
    </row>
    <row r="96" spans="5:17" x14ac:dyDescent="0.25">
      <c r="L96" s="20"/>
      <c r="M96" s="20"/>
      <c r="N96" s="20"/>
      <c r="O96" s="20"/>
      <c r="P96" s="20"/>
      <c r="Q96" s="20"/>
    </row>
    <row r="97" spans="12:17" x14ac:dyDescent="0.25">
      <c r="L97" s="20"/>
      <c r="M97" s="20"/>
      <c r="N97" s="20"/>
      <c r="O97" s="20"/>
      <c r="P97" s="20"/>
      <c r="Q97" s="20"/>
    </row>
    <row r="98" spans="12:17" x14ac:dyDescent="0.25">
      <c r="L98" s="20"/>
      <c r="M98" s="20"/>
      <c r="N98" s="20"/>
      <c r="O98" s="20"/>
      <c r="P98" s="20"/>
      <c r="Q98" s="20"/>
    </row>
  </sheetData>
  <sheetProtection algorithmName="SHA-512" hashValue="K4sjPEKjxIG4c4hEAOjswpNGuCXApclT41DMSmPTuovCb/u4nAAB6/yZVy+EAu6lHm5ADOo4fr+P0qey29iK7w==" saltValue="k7CfqDRGmqkwxUBlL7wsTw==" spinCount="100000" sheet="1" objects="1" scenarios="1"/>
  <mergeCells count="31">
    <mergeCell ref="S6:T6"/>
    <mergeCell ref="G7:H7"/>
    <mergeCell ref="S7:T7"/>
    <mergeCell ref="E5:H5"/>
    <mergeCell ref="C10:D10"/>
    <mergeCell ref="O55:P55"/>
    <mergeCell ref="O56:P56"/>
    <mergeCell ref="J29:J30"/>
    <mergeCell ref="C3:E3"/>
    <mergeCell ref="L3:P3"/>
    <mergeCell ref="G6:I6"/>
    <mergeCell ref="G14:H14"/>
    <mergeCell ref="G21:H21"/>
    <mergeCell ref="G22:H22"/>
    <mergeCell ref="J26:M26"/>
    <mergeCell ref="O57:P57"/>
    <mergeCell ref="O59:P59"/>
    <mergeCell ref="O88:P88"/>
    <mergeCell ref="O53:P53"/>
    <mergeCell ref="L9:M9"/>
    <mergeCell ref="N9:O9"/>
    <mergeCell ref="P9:Q9"/>
    <mergeCell ref="L29:M29"/>
    <mergeCell ref="O29:P29"/>
    <mergeCell ref="L37:M37"/>
    <mergeCell ref="O60:P60"/>
    <mergeCell ref="O61:P61"/>
    <mergeCell ref="O63:P63"/>
    <mergeCell ref="O64:P64"/>
    <mergeCell ref="J69:M69"/>
    <mergeCell ref="J54:M54"/>
  </mergeCells>
  <conditionalFormatting sqref="L70:L75">
    <cfRule type="cellIs" dxfId="9" priority="1" operator="greaterThan">
      <formula>1</formula>
    </cfRule>
  </conditionalFormatting>
  <conditionalFormatting sqref="L91">
    <cfRule type="cellIs" dxfId="8" priority="2" operator="greaterThan">
      <formula>$E$10</formula>
    </cfRule>
  </conditionalFormatting>
  <conditionalFormatting sqref="L53:O53 Q53">
    <cfRule type="containsText" dxfId="7" priority="4" operator="containsText" text="OVERCAP">
      <formula>NOT(ISERROR(SEARCH("OVERCAP",L53)))</formula>
    </cfRule>
  </conditionalFormatting>
  <conditionalFormatting sqref="L17:Q17">
    <cfRule type="colorScale" priority="7">
      <colorScale>
        <cfvo type="min"/>
        <cfvo type="percentile" val="50"/>
        <cfvo type="max"/>
        <color rgb="FF63BE7B"/>
        <color rgb="FFFFEB84"/>
        <color rgb="FFF8696B"/>
      </colorScale>
    </cfRule>
  </conditionalFormatting>
  <conditionalFormatting sqref="L19:Q19">
    <cfRule type="cellIs" dxfId="6" priority="8" operator="equal">
      <formula>"F"</formula>
    </cfRule>
    <cfRule type="colorScale" priority="9">
      <colorScale>
        <cfvo type="min"/>
        <cfvo type="percentile" val="50"/>
        <cfvo type="max"/>
        <color rgb="FF63BE7B"/>
        <color rgb="FFFFEB84"/>
        <color rgb="FFF8696B"/>
      </colorScale>
    </cfRule>
  </conditionalFormatting>
  <conditionalFormatting sqref="N91:N94 Q91:Q94 L95:Q98">
    <cfRule type="cellIs" dxfId="5" priority="5" operator="greaterThan">
      <formula>#REF!</formula>
    </cfRule>
  </conditionalFormatting>
  <conditionalFormatting sqref="O89">
    <cfRule type="colorScale" priority="3">
      <colorScale>
        <cfvo type="min"/>
        <cfvo type="percentile" val="50"/>
        <cfvo type="max"/>
        <color rgb="FF63BE7B"/>
        <color rgb="FFFFEB84"/>
        <color rgb="FFF8696B"/>
      </colorScale>
    </cfRule>
  </conditionalFormatting>
  <conditionalFormatting sqref="P24:Q24">
    <cfRule type="colorScale" priority="6">
      <colorScale>
        <cfvo type="min"/>
        <cfvo type="percentile" val="50"/>
        <cfvo type="max"/>
        <color rgb="FF63BE7B"/>
        <color rgb="FFFFEB84"/>
        <color rgb="FFF8696B"/>
      </colorScale>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C84"/>
  <sheetViews>
    <sheetView topLeftCell="A2" workbookViewId="0">
      <selection activeCell="S32" sqref="S32"/>
    </sheetView>
  </sheetViews>
  <sheetFormatPr defaultColWidth="8.85546875" defaultRowHeight="15" x14ac:dyDescent="0.25"/>
  <cols>
    <col min="1" max="1" width="5" customWidth="1"/>
    <col min="3" max="3" width="47.7109375" customWidth="1"/>
    <col min="4" max="4" width="11.42578125" customWidth="1"/>
    <col min="5" max="5" width="10.140625" customWidth="1"/>
    <col min="6" max="6" width="7.42578125" customWidth="1"/>
    <col min="7" max="7" width="10.140625" customWidth="1"/>
    <col min="8" max="8" width="6.42578125" customWidth="1"/>
    <col min="9" max="9" width="40.140625" customWidth="1"/>
    <col min="10" max="10" width="11.85546875" bestFit="1" customWidth="1"/>
    <col min="13" max="13" width="9.7109375" customWidth="1"/>
    <col min="14" max="14" width="11.28515625" customWidth="1"/>
    <col min="15" max="15" width="7.42578125" customWidth="1"/>
    <col min="16" max="16" width="11.28515625" customWidth="1"/>
    <col min="19" max="19" width="10.140625" customWidth="1"/>
    <col min="20" max="20" width="11" customWidth="1"/>
    <col min="21" max="21" width="14.28515625" customWidth="1"/>
    <col min="22" max="22" width="0.42578125" customWidth="1"/>
    <col min="24" max="24" width="10.7109375" customWidth="1"/>
  </cols>
  <sheetData>
    <row r="1" spans="2:24" ht="4.5" hidden="1" customHeight="1" x14ac:dyDescent="0.25"/>
    <row r="2" spans="2:24" ht="4.5" customHeight="1" thickBot="1" x14ac:dyDescent="0.3"/>
    <row r="3" spans="2:24" ht="19.5" thickBot="1" x14ac:dyDescent="0.35">
      <c r="B3" s="1565" t="s">
        <v>0</v>
      </c>
      <c r="C3" s="1566"/>
      <c r="D3" s="1567"/>
      <c r="I3" s="1565" t="s">
        <v>1067</v>
      </c>
      <c r="J3" s="1566"/>
      <c r="K3" s="1566"/>
      <c r="L3" s="1566"/>
      <c r="M3" s="1566"/>
      <c r="N3" s="1566"/>
      <c r="O3" s="1566"/>
      <c r="P3" s="1566"/>
      <c r="Q3" s="1566"/>
      <c r="R3" s="1566"/>
      <c r="S3" s="1566"/>
      <c r="T3" s="1566"/>
      <c r="U3" s="1567"/>
    </row>
    <row r="4" spans="2:24" ht="5.25" customHeight="1" thickBot="1" x14ac:dyDescent="0.3"/>
    <row r="5" spans="2:24" ht="20.25" customHeight="1" thickBot="1" x14ac:dyDescent="0.3">
      <c r="B5" s="560" t="s">
        <v>1043</v>
      </c>
      <c r="C5" s="561"/>
      <c r="D5" s="1882">
        <f>'GLOBAL INPUTS'!F55</f>
        <v>0</v>
      </c>
      <c r="E5" s="1633"/>
      <c r="F5" s="1633"/>
      <c r="G5" s="1633"/>
      <c r="H5" s="1634"/>
    </row>
    <row r="6" spans="2:24" ht="16.5" thickBot="1" x14ac:dyDescent="0.3">
      <c r="B6" s="17" t="s">
        <v>1280</v>
      </c>
      <c r="C6" s="570"/>
      <c r="D6" s="891">
        <f>'GLOBAL INPUTS'!F56</f>
        <v>0</v>
      </c>
      <c r="E6" s="483"/>
      <c r="F6" s="1729"/>
      <c r="G6" s="1729"/>
      <c r="H6" s="1729"/>
      <c r="I6" s="566" t="s">
        <v>6</v>
      </c>
      <c r="J6" s="567">
        <v>2</v>
      </c>
      <c r="K6" s="567">
        <v>2</v>
      </c>
      <c r="L6" s="568">
        <v>2</v>
      </c>
      <c r="M6" s="569">
        <v>4</v>
      </c>
      <c r="N6" s="567">
        <v>4</v>
      </c>
      <c r="O6" s="568">
        <v>4</v>
      </c>
      <c r="P6" s="569">
        <v>6</v>
      </c>
      <c r="Q6" s="567">
        <v>6</v>
      </c>
      <c r="R6" s="568">
        <v>6</v>
      </c>
      <c r="S6" s="569">
        <v>8</v>
      </c>
      <c r="T6" s="567">
        <v>8</v>
      </c>
      <c r="U6" s="568">
        <v>8</v>
      </c>
      <c r="W6" s="1706" t="s">
        <v>93</v>
      </c>
      <c r="X6" s="1707"/>
    </row>
    <row r="7" spans="2:24" ht="15.75" x14ac:dyDescent="0.25">
      <c r="B7" s="17" t="s">
        <v>1274</v>
      </c>
      <c r="C7" s="570"/>
      <c r="D7" s="576">
        <f>'GLOBAL INPUTS'!F57</f>
        <v>0</v>
      </c>
      <c r="E7" s="742" t="s">
        <v>1035</v>
      </c>
      <c r="F7" s="1648"/>
      <c r="G7" s="1648"/>
      <c r="I7" s="573" t="s">
        <v>7</v>
      </c>
      <c r="J7" s="32">
        <v>4</v>
      </c>
      <c r="K7" s="32">
        <v>6</v>
      </c>
      <c r="L7" s="574">
        <v>8</v>
      </c>
      <c r="M7" s="575">
        <v>6</v>
      </c>
      <c r="N7" s="32">
        <v>8</v>
      </c>
      <c r="O7" s="574">
        <v>2</v>
      </c>
      <c r="P7" s="575">
        <v>8</v>
      </c>
      <c r="Q7" s="32">
        <v>2</v>
      </c>
      <c r="R7" s="574">
        <v>4</v>
      </c>
      <c r="S7" s="575">
        <v>2</v>
      </c>
      <c r="T7" s="32">
        <v>4</v>
      </c>
      <c r="U7" s="574">
        <v>6</v>
      </c>
      <c r="W7" s="1708" t="s">
        <v>94</v>
      </c>
      <c r="X7" s="1709"/>
    </row>
    <row r="8" spans="2:24" ht="15.75" thickBot="1" x14ac:dyDescent="0.3">
      <c r="B8" s="17" t="s">
        <v>470</v>
      </c>
      <c r="C8" s="570"/>
      <c r="D8" s="576">
        <f>'GLOBAL INPUTS'!F58</f>
        <v>0</v>
      </c>
      <c r="E8" s="742"/>
      <c r="I8" s="577" t="s">
        <v>8</v>
      </c>
      <c r="J8" s="18" t="s">
        <v>9</v>
      </c>
      <c r="K8" s="18" t="s">
        <v>10</v>
      </c>
      <c r="L8" s="578" t="s">
        <v>11</v>
      </c>
      <c r="M8" s="579" t="s">
        <v>9</v>
      </c>
      <c r="N8" s="18" t="s">
        <v>10</v>
      </c>
      <c r="O8" s="578" t="s">
        <v>11</v>
      </c>
      <c r="P8" s="579" t="s">
        <v>9</v>
      </c>
      <c r="Q8" s="18" t="s">
        <v>10</v>
      </c>
      <c r="R8" s="578" t="s">
        <v>11</v>
      </c>
      <c r="S8" s="579" t="s">
        <v>9</v>
      </c>
      <c r="T8" s="18" t="s">
        <v>10</v>
      </c>
      <c r="U8" s="578" t="s">
        <v>11</v>
      </c>
      <c r="W8" s="758">
        <v>0</v>
      </c>
      <c r="X8" s="759" t="s">
        <v>16</v>
      </c>
    </row>
    <row r="9" spans="2:24" ht="16.5" thickBot="1" x14ac:dyDescent="0.3">
      <c r="B9" s="17" t="s">
        <v>1002</v>
      </c>
      <c r="C9" s="570"/>
      <c r="D9" s="576">
        <f>'GLOBAL INPUTS'!F59</f>
        <v>0</v>
      </c>
      <c r="E9" s="742" t="s">
        <v>2</v>
      </c>
      <c r="I9" s="587" t="s">
        <v>41</v>
      </c>
      <c r="J9" s="743"/>
      <c r="K9" s="744">
        <f>D6</f>
        <v>0</v>
      </c>
      <c r="L9" s="745"/>
      <c r="M9" s="746"/>
      <c r="N9" s="744" t="str">
        <f>IF($D$6="SB","WB",IF($D$6="NB","EB",IF($D$6="EB","SB","NB")))</f>
        <v>NB</v>
      </c>
      <c r="O9" s="745"/>
      <c r="P9" s="746"/>
      <c r="Q9" s="744" t="str">
        <f>IF($D$6="SB","NB",IF($D$6="NB","SB",IF($D$6="EB","WB","EB")))</f>
        <v>EB</v>
      </c>
      <c r="R9" s="745"/>
      <c r="S9" s="746"/>
      <c r="T9" s="744" t="str">
        <f>IF(N9="SB","NB",IF(N9="NB","SB",IF(N9="EB","WB","EB")))</f>
        <v>SB</v>
      </c>
      <c r="U9" s="747"/>
      <c r="W9" s="758">
        <v>10</v>
      </c>
      <c r="X9" s="759" t="s">
        <v>17</v>
      </c>
    </row>
    <row r="10" spans="2:24" ht="16.5" thickBot="1" x14ac:dyDescent="0.3">
      <c r="B10" s="17" t="s">
        <v>1273</v>
      </c>
      <c r="C10" s="570"/>
      <c r="D10" s="576">
        <f>'GLOBAL INPUTS'!F68</f>
        <v>0</v>
      </c>
      <c r="E10" s="742"/>
      <c r="I10" s="748" t="s">
        <v>1235</v>
      </c>
      <c r="J10" s="588">
        <f>'GLOBAL INPUTS'!S56</f>
        <v>0</v>
      </c>
      <c r="K10" s="589">
        <f>'GLOBAL INPUTS'!S57</f>
        <v>0</v>
      </c>
      <c r="L10" s="1440">
        <f>'GLOBAL INPUTS'!S58</f>
        <v>0</v>
      </c>
      <c r="M10" s="588">
        <f>'GLOBAL INPUTS'!S59</f>
        <v>0</v>
      </c>
      <c r="N10" s="589">
        <f>'GLOBAL INPUTS'!S60</f>
        <v>0</v>
      </c>
      <c r="O10" s="1440">
        <f>'GLOBAL INPUTS'!S61</f>
        <v>0</v>
      </c>
      <c r="P10" s="588">
        <f>'GLOBAL INPUTS'!S62</f>
        <v>0</v>
      </c>
      <c r="Q10" s="589">
        <f>'GLOBAL INPUTS'!S63</f>
        <v>0</v>
      </c>
      <c r="R10" s="1440">
        <f>'GLOBAL INPUTS'!S64</f>
        <v>0</v>
      </c>
      <c r="S10" s="588">
        <f>'GLOBAL INPUTS'!S65</f>
        <v>0</v>
      </c>
      <c r="T10" s="589">
        <f>'GLOBAL INPUTS'!S66</f>
        <v>0</v>
      </c>
      <c r="U10" s="1440">
        <f>'GLOBAL INPUTS'!S67</f>
        <v>0</v>
      </c>
      <c r="W10" s="758">
        <v>20</v>
      </c>
      <c r="X10" s="759" t="s">
        <v>18</v>
      </c>
    </row>
    <row r="11" spans="2:24" ht="16.5" thickBot="1" x14ac:dyDescent="0.3">
      <c r="B11" s="1503" t="s">
        <v>90</v>
      </c>
      <c r="C11" s="1504"/>
      <c r="D11" s="1505" t="s">
        <v>69</v>
      </c>
      <c r="E11" s="1506"/>
      <c r="F11" s="1883" t="s">
        <v>93</v>
      </c>
      <c r="G11" s="1707"/>
      <c r="I11" s="587" t="s">
        <v>91</v>
      </c>
      <c r="J11" s="34">
        <f>J10*$D$10</f>
        <v>0</v>
      </c>
      <c r="K11" s="34">
        <f t="shared" ref="K11:U11" si="0">K10*$D$10</f>
        <v>0</v>
      </c>
      <c r="L11" s="34">
        <f t="shared" si="0"/>
        <v>0</v>
      </c>
      <c r="M11" s="34">
        <f t="shared" si="0"/>
        <v>0</v>
      </c>
      <c r="N11" s="34">
        <f t="shared" si="0"/>
        <v>0</v>
      </c>
      <c r="O11" s="34">
        <f t="shared" si="0"/>
        <v>0</v>
      </c>
      <c r="P11" s="34">
        <f t="shared" si="0"/>
        <v>0</v>
      </c>
      <c r="Q11" s="34">
        <f t="shared" si="0"/>
        <v>0</v>
      </c>
      <c r="R11" s="34">
        <f t="shared" si="0"/>
        <v>0</v>
      </c>
      <c r="S11" s="34">
        <f t="shared" si="0"/>
        <v>0</v>
      </c>
      <c r="T11" s="34">
        <f t="shared" si="0"/>
        <v>0</v>
      </c>
      <c r="U11" s="34">
        <f t="shared" si="0"/>
        <v>0</v>
      </c>
      <c r="W11" s="758">
        <v>35</v>
      </c>
      <c r="X11" s="759" t="s">
        <v>19</v>
      </c>
    </row>
    <row r="12" spans="2:24" ht="15.75" x14ac:dyDescent="0.25">
      <c r="B12" s="1503" t="s">
        <v>92</v>
      </c>
      <c r="C12" s="1504"/>
      <c r="D12" s="1507" t="s">
        <v>69</v>
      </c>
      <c r="E12" s="1508"/>
      <c r="F12" s="1876" t="s">
        <v>94</v>
      </c>
      <c r="G12" s="1709"/>
      <c r="I12" s="750" t="s">
        <v>31</v>
      </c>
      <c r="J12" s="274" t="e">
        <f t="shared" ref="J12:U12" si="1">ROUND(J11/$D$8,0)</f>
        <v>#DIV/0!</v>
      </c>
      <c r="K12" s="267" t="e">
        <f t="shared" si="1"/>
        <v>#DIV/0!</v>
      </c>
      <c r="L12" s="267" t="e">
        <f t="shared" si="1"/>
        <v>#DIV/0!</v>
      </c>
      <c r="M12" s="267" t="e">
        <f t="shared" si="1"/>
        <v>#DIV/0!</v>
      </c>
      <c r="N12" s="267" t="e">
        <f t="shared" si="1"/>
        <v>#DIV/0!</v>
      </c>
      <c r="O12" s="267" t="e">
        <f t="shared" si="1"/>
        <v>#DIV/0!</v>
      </c>
      <c r="P12" s="267" t="e">
        <f t="shared" si="1"/>
        <v>#DIV/0!</v>
      </c>
      <c r="Q12" s="267" t="e">
        <f t="shared" si="1"/>
        <v>#DIV/0!</v>
      </c>
      <c r="R12" s="267" t="e">
        <f t="shared" si="1"/>
        <v>#DIV/0!</v>
      </c>
      <c r="S12" s="267" t="e">
        <f t="shared" si="1"/>
        <v>#DIV/0!</v>
      </c>
      <c r="T12" s="267" t="e">
        <f t="shared" si="1"/>
        <v>#DIV/0!</v>
      </c>
      <c r="U12" s="267" t="e">
        <f t="shared" si="1"/>
        <v>#DIV/0!</v>
      </c>
      <c r="W12" s="758">
        <v>55</v>
      </c>
      <c r="X12" s="759" t="s">
        <v>20</v>
      </c>
    </row>
    <row r="13" spans="2:24" ht="15.75" thickBot="1" x14ac:dyDescent="0.3">
      <c r="B13" s="1536"/>
      <c r="C13" s="1537"/>
      <c r="D13" s="1539"/>
      <c r="E13" s="1538" t="s">
        <v>3</v>
      </c>
      <c r="F13" s="1509">
        <v>0</v>
      </c>
      <c r="G13" s="759" t="s">
        <v>16</v>
      </c>
      <c r="I13" s="751" t="s">
        <v>57</v>
      </c>
      <c r="J13" s="752" t="e">
        <f t="shared" ref="J13:U13" si="2">ROUND(J12*(1+$D$9/100),0)</f>
        <v>#DIV/0!</v>
      </c>
      <c r="K13" s="753" t="e">
        <f t="shared" si="2"/>
        <v>#DIV/0!</v>
      </c>
      <c r="L13" s="753" t="e">
        <f t="shared" si="2"/>
        <v>#DIV/0!</v>
      </c>
      <c r="M13" s="753" t="e">
        <f t="shared" si="2"/>
        <v>#DIV/0!</v>
      </c>
      <c r="N13" s="753" t="e">
        <f t="shared" si="2"/>
        <v>#DIV/0!</v>
      </c>
      <c r="O13" s="753" t="e">
        <f t="shared" si="2"/>
        <v>#DIV/0!</v>
      </c>
      <c r="P13" s="753" t="e">
        <f t="shared" si="2"/>
        <v>#DIV/0!</v>
      </c>
      <c r="Q13" s="753" t="e">
        <f t="shared" si="2"/>
        <v>#DIV/0!</v>
      </c>
      <c r="R13" s="753" t="e">
        <f t="shared" si="2"/>
        <v>#DIV/0!</v>
      </c>
      <c r="S13" s="753" t="e">
        <f t="shared" si="2"/>
        <v>#DIV/0!</v>
      </c>
      <c r="T13" s="753" t="e">
        <f t="shared" si="2"/>
        <v>#DIV/0!</v>
      </c>
      <c r="U13" s="753" t="e">
        <f t="shared" si="2"/>
        <v>#DIV/0!</v>
      </c>
      <c r="W13" s="758">
        <v>80</v>
      </c>
      <c r="X13" s="759" t="s">
        <v>21</v>
      </c>
    </row>
    <row r="14" spans="2:24" ht="15.75" thickBot="1" x14ac:dyDescent="0.3">
      <c r="B14" s="591" t="s">
        <v>1348</v>
      </c>
      <c r="C14" s="18"/>
      <c r="D14" s="1540">
        <f>'GLOBAL INPUTS'!F60</f>
        <v>0</v>
      </c>
      <c r="E14" s="598" t="s">
        <v>3</v>
      </c>
      <c r="F14" s="1509">
        <v>10</v>
      </c>
      <c r="G14" s="759" t="s">
        <v>17</v>
      </c>
      <c r="I14" s="754" t="s">
        <v>1065</v>
      </c>
      <c r="J14" s="755" t="e">
        <f>IF(M31=0,M70,M71)+P74+N72+J74</f>
        <v>#N/A</v>
      </c>
      <c r="K14" s="755" t="e">
        <f>M70</f>
        <v>#N/A</v>
      </c>
      <c r="L14" s="756" t="e">
        <f>IF(M31=0,M70,M71)</f>
        <v>#N/A</v>
      </c>
      <c r="M14" s="757" t="e">
        <f>J75+M72+P74+IF(N33=0,N72,N73)</f>
        <v>#DIV/0!</v>
      </c>
      <c r="N14" s="755" t="e">
        <f>J75+M72+P74</f>
        <v>#DIV/0!</v>
      </c>
      <c r="O14" s="756" t="e">
        <f>J75+IF(M33=0,M72,M73)</f>
        <v>#DIV/0!</v>
      </c>
      <c r="P14" s="757" t="e">
        <f>IF(N31=0,N70,N71)+J74+M72+P74</f>
        <v>#N/A</v>
      </c>
      <c r="Q14" s="755" t="e">
        <f>N70</f>
        <v>#N/A</v>
      </c>
      <c r="R14" s="756" t="e">
        <f>IF(N31=0,N70,N71)+J74</f>
        <v>#N/A</v>
      </c>
      <c r="S14" s="757" t="e">
        <f>P75+N72+J74+IF(M33=0,M72,M73)</f>
        <v>#DIV/0!</v>
      </c>
      <c r="T14" s="755" t="e">
        <f>P75+N72+J74</f>
        <v>#DIV/0!</v>
      </c>
      <c r="U14" s="756" t="e">
        <f>P75+IF(N33=0,N72,N73)</f>
        <v>#DIV/0!</v>
      </c>
    </row>
    <row r="15" spans="2:24" x14ac:dyDescent="0.25">
      <c r="B15" s="17" t="s">
        <v>1208</v>
      </c>
      <c r="D15" s="576">
        <f>'GLOBAL INPUTS'!F62</f>
        <v>0</v>
      </c>
      <c r="E15" s="598" t="s">
        <v>3</v>
      </c>
      <c r="F15" s="1509">
        <v>20</v>
      </c>
      <c r="G15" s="759" t="s">
        <v>18</v>
      </c>
      <c r="I15" s="754" t="s">
        <v>1064</v>
      </c>
      <c r="J15" s="322" t="e">
        <f>(2*$D$13+22/7*$D$14)/(1.47*$D$7)</f>
        <v>#DIV/0!</v>
      </c>
      <c r="K15" s="322"/>
      <c r="L15" s="604"/>
      <c r="M15" s="322" t="e">
        <f>(2*$D$13+22/7*$D$14)/(1.47*$D$7)</f>
        <v>#DIV/0!</v>
      </c>
      <c r="N15" s="322"/>
      <c r="O15" s="604"/>
      <c r="P15" s="322" t="e">
        <f>(2*$D$13+22/7*$D$14)/(1.47*$D$7)</f>
        <v>#DIV/0!</v>
      </c>
      <c r="Q15" s="322"/>
      <c r="R15" s="604"/>
      <c r="S15" s="322" t="e">
        <f>(2*$D$13+22/7*$D$14)/(1.47*$D$7)</f>
        <v>#DIV/0!</v>
      </c>
      <c r="T15" s="322"/>
      <c r="U15" s="604"/>
    </row>
    <row r="16" spans="2:24" ht="15.75" x14ac:dyDescent="0.25">
      <c r="B16" s="17" t="s">
        <v>1049</v>
      </c>
      <c r="D16" s="576">
        <f>'GLOBAL INPUTS'!F63</f>
        <v>0</v>
      </c>
      <c r="E16" s="598" t="s">
        <v>708</v>
      </c>
      <c r="F16" s="1509">
        <v>35</v>
      </c>
      <c r="G16" s="759" t="s">
        <v>19</v>
      </c>
      <c r="I16" s="754" t="s">
        <v>1063</v>
      </c>
      <c r="J16" s="760" t="e">
        <f t="shared" ref="J16:T16" si="3">J14+J15</f>
        <v>#N/A</v>
      </c>
      <c r="K16" s="760" t="e">
        <f t="shared" si="3"/>
        <v>#N/A</v>
      </c>
      <c r="L16" s="761" t="e">
        <f t="shared" si="3"/>
        <v>#N/A</v>
      </c>
      <c r="M16" s="762" t="e">
        <f t="shared" si="3"/>
        <v>#DIV/0!</v>
      </c>
      <c r="N16" s="760" t="e">
        <f t="shared" si="3"/>
        <v>#DIV/0!</v>
      </c>
      <c r="O16" s="761" t="e">
        <f t="shared" si="3"/>
        <v>#DIV/0!</v>
      </c>
      <c r="P16" s="762" t="e">
        <f t="shared" si="3"/>
        <v>#N/A</v>
      </c>
      <c r="Q16" s="760" t="e">
        <f t="shared" si="3"/>
        <v>#N/A</v>
      </c>
      <c r="R16" s="761" t="e">
        <f t="shared" si="3"/>
        <v>#N/A</v>
      </c>
      <c r="S16" s="762" t="e">
        <f t="shared" si="3"/>
        <v>#DIV/0!</v>
      </c>
      <c r="T16" s="762" t="e">
        <f t="shared" si="3"/>
        <v>#DIV/0!</v>
      </c>
      <c r="U16" s="761" t="e">
        <f>P75+IF(N33=0,N72,N73)</f>
        <v>#DIV/0!</v>
      </c>
      <c r="X16" s="18"/>
    </row>
    <row r="17" spans="2:21" ht="16.5" thickBot="1" x14ac:dyDescent="0.3">
      <c r="B17" s="17" t="s">
        <v>1349</v>
      </c>
      <c r="D17" s="576">
        <f>'GLOBAL INPUTS'!F64</f>
        <v>0</v>
      </c>
      <c r="E17" s="598" t="s">
        <v>708</v>
      </c>
      <c r="F17" s="1509">
        <v>55</v>
      </c>
      <c r="G17" s="759" t="s">
        <v>20</v>
      </c>
      <c r="I17" s="754" t="s">
        <v>1077</v>
      </c>
      <c r="J17" s="203"/>
      <c r="K17" s="610" t="e">
        <f>SUMPRODUCT(J13:L13,J16:L16)/SUM(J13:L13)</f>
        <v>#DIV/0!</v>
      </c>
      <c r="L17" s="611"/>
      <c r="M17" s="612"/>
      <c r="N17" s="610" t="e">
        <f>SUMPRODUCT(M13:O13,M16:O16)/SUM(M13:O13)</f>
        <v>#DIV/0!</v>
      </c>
      <c r="O17" s="611"/>
      <c r="P17" s="612"/>
      <c r="Q17" s="610" t="e">
        <f>SUMPRODUCT(P13:R13,P16:R16)/SUM(P13:R13)</f>
        <v>#DIV/0!</v>
      </c>
      <c r="R17" s="611"/>
      <c r="S17" s="612"/>
      <c r="T17" s="610" t="e">
        <f>SUMPRODUCT(S13:U13,S16:U16)/SUM(S13:U13)</f>
        <v>#DIV/0!</v>
      </c>
      <c r="U17" s="613"/>
    </row>
    <row r="18" spans="2:21" ht="15.75" thickBot="1" x14ac:dyDescent="0.3">
      <c r="B18" s="17" t="s">
        <v>61</v>
      </c>
      <c r="D18" s="576">
        <f>'GLOBAL INPUTS'!F65</f>
        <v>0</v>
      </c>
      <c r="E18" s="598" t="s">
        <v>1006</v>
      </c>
      <c r="F18" s="1509">
        <v>80</v>
      </c>
      <c r="G18" s="759" t="s">
        <v>21</v>
      </c>
      <c r="I18" s="763" t="s">
        <v>95</v>
      </c>
      <c r="J18" s="764" t="e">
        <f t="shared" ref="J18:U18" si="4">VLOOKUP(J16,$W$8:$X$16,2,TRUE)</f>
        <v>#N/A</v>
      </c>
      <c r="K18" s="615" t="e">
        <f t="shared" si="4"/>
        <v>#N/A</v>
      </c>
      <c r="L18" s="615" t="e">
        <f t="shared" si="4"/>
        <v>#N/A</v>
      </c>
      <c r="M18" s="615" t="e">
        <f t="shared" si="4"/>
        <v>#DIV/0!</v>
      </c>
      <c r="N18" s="615" t="e">
        <f t="shared" si="4"/>
        <v>#DIV/0!</v>
      </c>
      <c r="O18" s="615" t="e">
        <f t="shared" si="4"/>
        <v>#DIV/0!</v>
      </c>
      <c r="P18" s="615" t="e">
        <f t="shared" si="4"/>
        <v>#N/A</v>
      </c>
      <c r="Q18" s="615" t="e">
        <f t="shared" si="4"/>
        <v>#N/A</v>
      </c>
      <c r="R18" s="615" t="e">
        <f t="shared" si="4"/>
        <v>#N/A</v>
      </c>
      <c r="S18" s="615" t="e">
        <f t="shared" si="4"/>
        <v>#DIV/0!</v>
      </c>
      <c r="T18" s="615" t="e">
        <f t="shared" si="4"/>
        <v>#DIV/0!</v>
      </c>
      <c r="U18" s="1048" t="e">
        <f t="shared" si="4"/>
        <v>#DIV/0!</v>
      </c>
    </row>
    <row r="19" spans="2:21" ht="21.75" thickBot="1" x14ac:dyDescent="0.4">
      <c r="B19" s="17" t="str">
        <f>'GLOBAL INPUTS'!D67</f>
        <v xml:space="preserve">Coordination arrival type on major road (1=poor; 6=outstanding) </v>
      </c>
      <c r="D19" s="1321">
        <f>'GLOBAL INPUTS'!F67</f>
        <v>0</v>
      </c>
      <c r="E19" s="570"/>
      <c r="N19" s="636"/>
      <c r="O19" s="616"/>
      <c r="P19" s="767" t="s">
        <v>152</v>
      </c>
      <c r="Q19" s="768"/>
      <c r="R19" s="768"/>
      <c r="S19" s="769"/>
      <c r="T19" s="621" t="e">
        <f>SUMPRODUCT(J13:U13,J16:U16)/SUM(J13:U13)</f>
        <v>#DIV/0!</v>
      </c>
      <c r="U19" s="622" t="e">
        <f>VLOOKUP(T19,W8:X16,2,TRUE)</f>
        <v>#DIV/0!</v>
      </c>
    </row>
    <row r="20" spans="2:21" ht="19.5" thickBot="1" x14ac:dyDescent="0.35">
      <c r="B20" s="19" t="s">
        <v>1074</v>
      </c>
      <c r="C20" s="248"/>
      <c r="D20" s="765">
        <f>'GLOBAL INPUTS'!F66</f>
        <v>0</v>
      </c>
      <c r="E20" s="710"/>
      <c r="I20" s="185" t="s">
        <v>941</v>
      </c>
      <c r="J20" s="772" t="e">
        <f>SUMPRODUCT(J13:U13,J14:U14)/SUM(J13:U13)</f>
        <v>#DIV/0!</v>
      </c>
      <c r="K20" s="1510" t="e">
        <f>VLOOKUP(J20,F13:G18,2,TRUE)</f>
        <v>#DIV/0!</v>
      </c>
      <c r="O20" s="195"/>
      <c r="P20" s="262" t="s">
        <v>1369</v>
      </c>
      <c r="Q20" s="263"/>
      <c r="R20" s="263"/>
      <c r="S20" s="263"/>
      <c r="T20" s="264"/>
      <c r="U20" s="773" t="e">
        <f>IF(MAX(J77:P79)&gt;$D$13,"YES","NO")</f>
        <v>#DIV/0!</v>
      </c>
    </row>
    <row r="21" spans="2:21" ht="18.75" x14ac:dyDescent="0.3">
      <c r="J21" s="195"/>
      <c r="K21" s="195"/>
      <c r="L21" s="195"/>
      <c r="M21" s="195"/>
      <c r="N21" s="195"/>
      <c r="O21" s="195"/>
      <c r="P21" s="265"/>
      <c r="Q21" s="265"/>
      <c r="R21" s="265"/>
      <c r="S21" s="265"/>
      <c r="T21" s="265"/>
      <c r="U21" s="195"/>
    </row>
    <row r="22" spans="2:21" x14ac:dyDescent="0.25">
      <c r="S22" s="15"/>
      <c r="T22" s="15"/>
    </row>
    <row r="23" spans="2:21" x14ac:dyDescent="0.25">
      <c r="J23" s="18"/>
      <c r="K23" s="18"/>
      <c r="L23" s="18"/>
      <c r="M23" s="18"/>
      <c r="N23" s="18"/>
      <c r="O23" s="18"/>
      <c r="P23" s="18"/>
      <c r="Q23" s="18"/>
      <c r="R23" s="18"/>
      <c r="S23" s="18"/>
      <c r="T23" s="18"/>
      <c r="U23" s="18"/>
    </row>
    <row r="24" spans="2:21" ht="16.5" thickBot="1" x14ac:dyDescent="0.3">
      <c r="S24" s="682"/>
    </row>
    <row r="25" spans="2:21" ht="18.75" x14ac:dyDescent="0.3">
      <c r="K25" s="467"/>
      <c r="L25" s="1073"/>
      <c r="M25" s="1073" t="s">
        <v>60</v>
      </c>
      <c r="N25" s="1073"/>
      <c r="O25" s="1074"/>
      <c r="T25" s="774"/>
      <c r="U25" s="623"/>
    </row>
    <row r="26" spans="2:21" ht="19.5" thickBot="1" x14ac:dyDescent="0.35">
      <c r="G26" s="276" t="s">
        <v>1380</v>
      </c>
      <c r="K26" s="1075" t="s">
        <v>46</v>
      </c>
      <c r="L26" s="233"/>
      <c r="M26" s="233"/>
      <c r="N26" s="233"/>
      <c r="O26" s="1076">
        <f>ROUND((0.95*D18)/5,0)*5</f>
        <v>0</v>
      </c>
      <c r="S26" s="720"/>
    </row>
    <row r="27" spans="2:21" ht="16.5" thickBot="1" x14ac:dyDescent="0.3">
      <c r="G27" s="15" t="s">
        <v>1236</v>
      </c>
      <c r="S27" s="682"/>
    </row>
    <row r="28" spans="2:21" ht="18.75" x14ac:dyDescent="0.3">
      <c r="J28" s="1688" t="s">
        <v>990</v>
      </c>
      <c r="K28" s="1689"/>
      <c r="L28" s="15"/>
      <c r="M28" s="1713" t="s">
        <v>100</v>
      </c>
      <c r="N28" s="1714"/>
      <c r="O28" s="15"/>
      <c r="P28" s="1688" t="s">
        <v>991</v>
      </c>
      <c r="Q28" s="1689"/>
      <c r="U28" s="195"/>
    </row>
    <row r="29" spans="2:21" ht="16.5" thickBot="1" x14ac:dyDescent="0.3">
      <c r="J29" s="1715" t="str">
        <f>N9</f>
        <v>NB</v>
      </c>
      <c r="K29" s="1716"/>
      <c r="M29" s="1511" t="s">
        <v>1352</v>
      </c>
      <c r="N29" s="1511" t="s">
        <v>1353</v>
      </c>
      <c r="O29" s="774"/>
      <c r="P29" s="1715" t="str">
        <f>T9</f>
        <v>SB</v>
      </c>
      <c r="Q29" s="1716"/>
    </row>
    <row r="30" spans="2:21" ht="15.75" x14ac:dyDescent="0.25">
      <c r="I30" s="560" t="s">
        <v>728</v>
      </c>
      <c r="J30" s="857"/>
      <c r="K30" s="658"/>
      <c r="L30" s="636" t="str">
        <f>CONCATENATE(K9,K8)</f>
        <v>0T</v>
      </c>
      <c r="M30" s="10"/>
      <c r="N30" s="10"/>
      <c r="O30" s="636" t="str">
        <f>CONCATENATE(Q9,Q8)</f>
        <v>EBT</v>
      </c>
      <c r="P30" s="857"/>
      <c r="Q30" s="561"/>
    </row>
    <row r="31" spans="2:21" ht="15.75" x14ac:dyDescent="0.25">
      <c r="I31" s="17" t="s">
        <v>729</v>
      </c>
      <c r="J31" s="1512"/>
      <c r="K31" s="18"/>
      <c r="L31" s="14" t="str">
        <f>CONCATENATE(K9,L8)</f>
        <v>0R</v>
      </c>
      <c r="M31" s="9"/>
      <c r="N31" s="9"/>
      <c r="O31" s="14" t="str">
        <f>CONCATENATE(Q9,R8)</f>
        <v>EBR</v>
      </c>
      <c r="P31" s="1512"/>
      <c r="Q31" s="570"/>
    </row>
    <row r="32" spans="2:21" ht="15.75" x14ac:dyDescent="0.25">
      <c r="I32" s="17" t="s">
        <v>730</v>
      </c>
      <c r="J32" s="659"/>
      <c r="K32" s="18"/>
      <c r="L32" s="14" t="str">
        <f>CONCATENATE(N9,N8)</f>
        <v>NBT</v>
      </c>
      <c r="M32" s="9"/>
      <c r="N32" s="9"/>
      <c r="O32" s="14" t="str">
        <f>CONCATENATE(T9,T8)</f>
        <v>SBT</v>
      </c>
      <c r="P32" s="659"/>
      <c r="Q32" s="570"/>
    </row>
    <row r="33" spans="2:29" ht="15.75" x14ac:dyDescent="0.25">
      <c r="I33" s="17" t="s">
        <v>731</v>
      </c>
      <c r="J33" s="1513"/>
      <c r="K33" s="18"/>
      <c r="L33" s="14" t="str">
        <f>CONCATENATE(N9,O8)</f>
        <v>NBR</v>
      </c>
      <c r="M33" s="9"/>
      <c r="N33" s="9"/>
      <c r="O33" s="14" t="str">
        <f>CONCATENATE(T9,U8)</f>
        <v>SBR</v>
      </c>
      <c r="P33" s="1513"/>
      <c r="Q33" s="570"/>
    </row>
    <row r="34" spans="2:29" ht="15.75" x14ac:dyDescent="0.25">
      <c r="I34" s="17" t="s">
        <v>732</v>
      </c>
      <c r="J34" s="890"/>
      <c r="K34" s="18"/>
      <c r="L34" s="18"/>
      <c r="M34" s="661"/>
      <c r="N34" s="1514"/>
      <c r="O34" s="18"/>
      <c r="P34" s="9"/>
      <c r="Q34" s="570"/>
    </row>
    <row r="35" spans="2:29" ht="16.5" thickBot="1" x14ac:dyDescent="0.3">
      <c r="C35" t="s">
        <v>923</v>
      </c>
      <c r="I35" s="19" t="s">
        <v>733</v>
      </c>
      <c r="J35" s="3"/>
      <c r="K35" s="663"/>
      <c r="L35" s="663"/>
      <c r="M35" s="786"/>
      <c r="N35" s="1515"/>
      <c r="O35" s="663"/>
      <c r="P35" s="11"/>
      <c r="Q35" s="666"/>
    </row>
    <row r="36" spans="2:29" ht="15.75" x14ac:dyDescent="0.25">
      <c r="I36" s="560" t="s">
        <v>734</v>
      </c>
      <c r="J36" s="857"/>
      <c r="K36" s="658"/>
      <c r="L36" s="658"/>
      <c r="M36" s="731" t="e">
        <f>K13</f>
        <v>#DIV/0!</v>
      </c>
      <c r="N36" s="658" t="e">
        <f>Q13</f>
        <v>#DIV/0!</v>
      </c>
      <c r="O36" s="658"/>
      <c r="P36" s="857"/>
      <c r="Q36" s="561"/>
      <c r="R36" s="15"/>
    </row>
    <row r="37" spans="2:29" x14ac:dyDescent="0.25">
      <c r="I37" s="17" t="s">
        <v>735</v>
      </c>
      <c r="J37" s="1512"/>
      <c r="K37" s="18"/>
      <c r="L37" s="18"/>
      <c r="M37" s="20" t="e">
        <f>L13+J13</f>
        <v>#DIV/0!</v>
      </c>
      <c r="N37" s="18" t="e">
        <f>R13+P13</f>
        <v>#DIV/0!</v>
      </c>
      <c r="O37" s="18"/>
      <c r="P37" s="1512"/>
      <c r="Q37" s="570"/>
    </row>
    <row r="38" spans="2:29" x14ac:dyDescent="0.25">
      <c r="B38" s="720"/>
      <c r="I38" s="17" t="s">
        <v>736</v>
      </c>
      <c r="J38" s="659"/>
      <c r="K38" s="18"/>
      <c r="L38" s="18"/>
      <c r="M38" s="20" t="e">
        <f>N13+M13+P13</f>
        <v>#DIV/0!</v>
      </c>
      <c r="N38" s="18" t="e">
        <f>T13+S13+J13</f>
        <v>#DIV/0!</v>
      </c>
      <c r="O38" s="18"/>
      <c r="P38" s="659"/>
      <c r="Q38" s="570"/>
    </row>
    <row r="39" spans="2:29" ht="15.75" thickBot="1" x14ac:dyDescent="0.3">
      <c r="I39" s="19" t="s">
        <v>737</v>
      </c>
      <c r="J39" s="1516"/>
      <c r="K39" s="663"/>
      <c r="L39" s="663"/>
      <c r="M39" s="671" t="e">
        <f>O13+S13</f>
        <v>#DIV/0!</v>
      </c>
      <c r="N39" s="663" t="e">
        <f>U13+M13</f>
        <v>#DIV/0!</v>
      </c>
      <c r="O39" s="663"/>
      <c r="P39" s="1516"/>
      <c r="Q39" s="666"/>
    </row>
    <row r="40" spans="2:29" x14ac:dyDescent="0.25">
      <c r="I40" s="17" t="s">
        <v>738</v>
      </c>
      <c r="J40" s="368" t="e">
        <f>J13+R13+T13</f>
        <v>#DIV/0!</v>
      </c>
      <c r="K40" s="18"/>
      <c r="L40" s="18"/>
      <c r="M40" s="504"/>
      <c r="N40" s="659"/>
      <c r="O40" s="18"/>
      <c r="P40" s="18" t="e">
        <f>L13+N13+P13</f>
        <v>#DIV/0!</v>
      </c>
      <c r="Q40" s="570"/>
    </row>
    <row r="41" spans="2:29" x14ac:dyDescent="0.25">
      <c r="B41" s="18"/>
      <c r="C41" s="21"/>
      <c r="D41" s="258"/>
      <c r="I41" s="17" t="s">
        <v>739</v>
      </c>
      <c r="J41" s="368" t="e">
        <f>P13+S13</f>
        <v>#DIV/0!</v>
      </c>
      <c r="K41" s="18"/>
      <c r="L41" s="18"/>
      <c r="M41" s="504"/>
      <c r="N41" s="659"/>
      <c r="O41" s="18"/>
      <c r="P41" s="18" t="e">
        <f>J13+M13</f>
        <v>#DIV/0!</v>
      </c>
      <c r="Q41" s="570"/>
    </row>
    <row r="42" spans="2:29" ht="15.75" thickBot="1" x14ac:dyDescent="0.3">
      <c r="B42" s="18"/>
      <c r="C42" s="21"/>
      <c r="I42" s="19" t="s">
        <v>984</v>
      </c>
      <c r="J42" s="663" t="e">
        <f>SUM(M13:O13)</f>
        <v>#DIV/0!</v>
      </c>
      <c r="K42" s="663"/>
      <c r="L42" s="663"/>
      <c r="M42" s="1164"/>
      <c r="N42" s="805"/>
      <c r="O42" s="663"/>
      <c r="P42" s="663" t="e">
        <f>SUM(S13:U13)</f>
        <v>#DIV/0!</v>
      </c>
      <c r="Q42" s="666"/>
    </row>
    <row r="43" spans="2:29" ht="15.75" thickBot="1" x14ac:dyDescent="0.3">
      <c r="B43" s="258"/>
      <c r="C43" s="21"/>
      <c r="I43" s="560" t="s">
        <v>740</v>
      </c>
      <c r="J43" s="1415"/>
      <c r="K43" s="658"/>
      <c r="L43" s="658"/>
      <c r="M43" s="712" t="e">
        <f>(M36+IF(M31=0,M37,0))/(M30*$O$26)*IF(M30=2,1/0.952,IF(M30=3,1/0.908,1))</f>
        <v>#DIV/0!</v>
      </c>
      <c r="N43" s="712" t="e">
        <f>(N36+IF(N31=0,N37,0))/(N30*$O$26)*IF(N30=2,1/0.952,IF(N30=3,1/0.908,1))</f>
        <v>#DIV/0!</v>
      </c>
      <c r="O43" s="658"/>
      <c r="P43" s="1415"/>
      <c r="Q43" s="561"/>
      <c r="V43" s="18"/>
      <c r="W43" s="18"/>
      <c r="X43" s="18"/>
      <c r="Y43" s="18"/>
      <c r="Z43" s="18"/>
      <c r="AA43" s="18"/>
      <c r="AB43" s="18"/>
      <c r="AC43" s="18"/>
    </row>
    <row r="44" spans="2:29" ht="15.75" thickBot="1" x14ac:dyDescent="0.3">
      <c r="C44" s="1677" t="s">
        <v>741</v>
      </c>
      <c r="D44" s="1678"/>
      <c r="E44" s="1678"/>
      <c r="F44" s="1678"/>
      <c r="G44" s="1679"/>
      <c r="I44" s="17" t="s">
        <v>742</v>
      </c>
      <c r="J44" s="659"/>
      <c r="K44" s="18"/>
      <c r="L44" s="18"/>
      <c r="M44" s="309">
        <f>IF(M31=0,0,1.18*M37/(M31*O26)*IF(M31=2,1/0.952,IF(M31=3,1/0.908,1)))</f>
        <v>0</v>
      </c>
      <c r="N44" s="309">
        <f>IF(N31=0,0,N37/(O26*N31))*IF(N31=2,1/0.95,1/0.908)</f>
        <v>0</v>
      </c>
      <c r="O44" s="18"/>
      <c r="P44" s="659"/>
      <c r="Q44" s="570"/>
      <c r="S44" s="399"/>
      <c r="V44" s="18"/>
      <c r="W44" s="18"/>
      <c r="X44" s="18"/>
      <c r="Y44" s="18"/>
      <c r="Z44" s="18"/>
      <c r="AA44" s="18"/>
      <c r="AB44" s="18"/>
      <c r="AC44" s="18"/>
    </row>
    <row r="45" spans="2:29" ht="15.75" x14ac:dyDescent="0.25">
      <c r="C45" s="806"/>
      <c r="D45" s="1143" t="s">
        <v>743</v>
      </c>
      <c r="E45" s="1143"/>
      <c r="F45" s="484"/>
      <c r="G45" s="561"/>
      <c r="I45" s="17" t="s">
        <v>744</v>
      </c>
      <c r="J45" s="659">
        <v>0</v>
      </c>
      <c r="K45" s="18"/>
      <c r="L45" s="18"/>
      <c r="M45" s="309" t="e">
        <f>(M38+IF(M33=0,M39,0))/(M32*O26)*IF(M32=2,1/0.952,IF(M32=3,1/0.908,1))</f>
        <v>#DIV/0!</v>
      </c>
      <c r="N45" s="309" t="e">
        <f>N38/(N32*$O$26)*IF(N32=2,1/0.952,IF(N32=3,1/0.908,1))</f>
        <v>#DIV/0!</v>
      </c>
      <c r="O45" s="18"/>
      <c r="P45" s="659">
        <v>0</v>
      </c>
      <c r="Q45" s="570"/>
      <c r="U45" s="802"/>
      <c r="V45" s="24"/>
      <c r="W45" s="24"/>
      <c r="X45" s="24"/>
      <c r="Y45" s="24"/>
      <c r="Z45" s="24"/>
      <c r="AA45" s="24"/>
      <c r="AB45" s="24"/>
      <c r="AC45" s="24"/>
    </row>
    <row r="46" spans="2:29" ht="16.5" thickBot="1" x14ac:dyDescent="0.3">
      <c r="C46" s="591"/>
      <c r="D46" s="18">
        <v>1</v>
      </c>
      <c r="E46" s="18">
        <v>2</v>
      </c>
      <c r="G46" s="570"/>
      <c r="I46" s="19" t="s">
        <v>746</v>
      </c>
      <c r="J46" s="805"/>
      <c r="K46" s="663"/>
      <c r="L46" s="663"/>
      <c r="M46" s="717">
        <f>IF(M33=0,0,M39/(M33*O26)*IF(M33=2,1/0.952,IF(M33=3,1/0.908,1)))</f>
        <v>0</v>
      </c>
      <c r="N46" s="717">
        <f>IF(N33=0,0,N39/(N33*$O$26)*IF(N33=2,1/0.952,IF(N33=3,1/0.908,1)))</f>
        <v>0</v>
      </c>
      <c r="O46" s="663"/>
      <c r="P46" s="805"/>
      <c r="Q46" s="666"/>
      <c r="U46" s="802"/>
      <c r="V46" s="24"/>
      <c r="W46" s="18"/>
      <c r="X46" s="18"/>
      <c r="Y46" s="24"/>
      <c r="Z46" s="18"/>
      <c r="AA46" s="18"/>
      <c r="AB46" s="24"/>
      <c r="AC46" s="18"/>
    </row>
    <row r="47" spans="2:29" ht="15.75" x14ac:dyDescent="0.25">
      <c r="C47" s="17">
        <v>1</v>
      </c>
      <c r="D47" s="677">
        <v>1380</v>
      </c>
      <c r="E47" s="678">
        <v>1420</v>
      </c>
      <c r="F47" s="15" t="s">
        <v>745</v>
      </c>
      <c r="G47" s="570"/>
      <c r="I47" s="560" t="s">
        <v>1354</v>
      </c>
      <c r="J47" s="731">
        <f>D60</f>
        <v>0</v>
      </c>
      <c r="K47" s="658"/>
      <c r="L47" s="658"/>
      <c r="M47" s="1415"/>
      <c r="N47" s="887"/>
      <c r="O47" s="658"/>
      <c r="P47" s="731">
        <f>D67</f>
        <v>0</v>
      </c>
      <c r="Q47" s="561"/>
      <c r="S47" s="20"/>
      <c r="U47" s="802"/>
      <c r="V47" s="18"/>
      <c r="W47" s="18"/>
      <c r="X47" s="18"/>
      <c r="Y47" s="24"/>
      <c r="Z47" s="18"/>
      <c r="AA47" s="18"/>
      <c r="AB47" s="18"/>
      <c r="AC47" s="18"/>
    </row>
    <row r="48" spans="2:29" ht="16.5" thickBot="1" x14ac:dyDescent="0.3">
      <c r="C48" s="17">
        <v>2</v>
      </c>
      <c r="D48" s="545">
        <v>1420</v>
      </c>
      <c r="E48" s="679">
        <v>1385</v>
      </c>
      <c r="F48" s="15" t="s">
        <v>747</v>
      </c>
      <c r="G48" s="570"/>
      <c r="I48" s="17" t="s">
        <v>1355</v>
      </c>
      <c r="J48" s="20">
        <f>D60</f>
        <v>0</v>
      </c>
      <c r="K48" s="18"/>
      <c r="L48" s="18"/>
      <c r="M48" s="715"/>
      <c r="N48" s="659"/>
      <c r="O48" s="18"/>
      <c r="P48" s="20">
        <f>D67</f>
        <v>0</v>
      </c>
      <c r="Q48" s="570"/>
      <c r="S48" s="20"/>
      <c r="U48" s="802"/>
      <c r="V48" s="18"/>
      <c r="W48" s="18"/>
      <c r="X48" s="18"/>
      <c r="Y48" s="24"/>
      <c r="Z48" s="18"/>
      <c r="AA48" s="18"/>
      <c r="AB48" s="18"/>
      <c r="AC48" s="18"/>
    </row>
    <row r="49" spans="3:29" ht="15.75" x14ac:dyDescent="0.25">
      <c r="C49" s="17"/>
      <c r="D49" s="18"/>
      <c r="E49" s="18"/>
      <c r="G49" s="570"/>
      <c r="I49" s="17" t="s">
        <v>748</v>
      </c>
      <c r="J49" s="20">
        <f>IF(J34=1,(J40+J41)/(J40/J48+J41/J47),J47+J48)</f>
        <v>0</v>
      </c>
      <c r="K49" s="18"/>
      <c r="L49" s="18"/>
      <c r="M49" s="715"/>
      <c r="N49" s="659"/>
      <c r="O49" s="18"/>
      <c r="P49" s="20">
        <f>IF(P34=1,(P40+P41)/(P40/P48+P41/P47),P47+P48)</f>
        <v>0</v>
      </c>
      <c r="Q49" s="570"/>
      <c r="S49" s="20"/>
      <c r="U49" s="802"/>
      <c r="V49" s="24"/>
      <c r="W49" s="18"/>
      <c r="X49" s="18"/>
      <c r="Y49" s="24"/>
      <c r="Z49" s="18"/>
      <c r="AA49" s="18"/>
      <c r="AB49" s="24"/>
      <c r="AC49" s="18"/>
    </row>
    <row r="50" spans="3:29" ht="15.75" thickBot="1" x14ac:dyDescent="0.3">
      <c r="C50" s="591"/>
      <c r="D50" s="18">
        <v>1</v>
      </c>
      <c r="E50" s="18">
        <v>2</v>
      </c>
      <c r="G50" s="570"/>
      <c r="I50" s="17" t="s">
        <v>1356</v>
      </c>
      <c r="J50" s="309" t="e">
        <f>(J40+J41)/J49</f>
        <v>#DIV/0!</v>
      </c>
      <c r="K50" s="18"/>
      <c r="L50" s="18"/>
      <c r="M50" s="715"/>
      <c r="N50" s="659"/>
      <c r="O50" s="18"/>
      <c r="P50" s="309" t="e">
        <f>(P40+P41)/P49</f>
        <v>#DIV/0!</v>
      </c>
      <c r="Q50" s="570"/>
      <c r="S50" s="309"/>
      <c r="U50" s="803"/>
      <c r="V50" s="25"/>
      <c r="W50" s="25"/>
      <c r="X50" s="25"/>
      <c r="Y50" s="25"/>
      <c r="Z50" s="25"/>
      <c r="AA50" s="25"/>
      <c r="AB50" s="25"/>
      <c r="AC50" s="25"/>
    </row>
    <row r="51" spans="3:29" x14ac:dyDescent="0.25">
      <c r="C51" s="17">
        <v>1</v>
      </c>
      <c r="D51" s="677">
        <f>1.02/1000</f>
        <v>1.0200000000000001E-3</v>
      </c>
      <c r="E51" s="678">
        <f>0.85/1000</f>
        <v>8.4999999999999995E-4</v>
      </c>
      <c r="F51" s="15" t="s">
        <v>745</v>
      </c>
      <c r="G51" s="570"/>
      <c r="I51" s="17" t="s">
        <v>1357</v>
      </c>
      <c r="J51" s="20" t="e">
        <f>J34*$D$60*EXP(-$E$60*J41)</f>
        <v>#DIV/0!</v>
      </c>
      <c r="K51" s="18"/>
      <c r="L51" s="18"/>
      <c r="M51" s="715"/>
      <c r="N51" s="659"/>
      <c r="O51" s="18"/>
      <c r="P51" s="20" t="e">
        <f>P34*$D$67*EXP(-$E$67*P41)</f>
        <v>#DIV/0!</v>
      </c>
      <c r="Q51" s="570"/>
      <c r="S51" s="20"/>
      <c r="U51" s="803"/>
      <c r="V51" s="25"/>
      <c r="W51" s="25"/>
      <c r="X51" s="25"/>
      <c r="Y51" s="25"/>
      <c r="Z51" s="25"/>
      <c r="AA51" s="25"/>
      <c r="AB51" s="25"/>
      <c r="AC51" s="25"/>
    </row>
    <row r="52" spans="3:29" ht="15.75" thickBot="1" x14ac:dyDescent="0.3">
      <c r="C52" s="17">
        <v>2</v>
      </c>
      <c r="D52" s="545">
        <f>0.91/1000</f>
        <v>9.1E-4</v>
      </c>
      <c r="E52" s="679">
        <f>0.89/1000</f>
        <v>8.9000000000000006E-4</v>
      </c>
      <c r="F52" s="15" t="s">
        <v>749</v>
      </c>
      <c r="G52" s="570"/>
      <c r="I52" s="19" t="s">
        <v>750</v>
      </c>
      <c r="J52" s="717" t="e">
        <f>J42/J51</f>
        <v>#DIV/0!</v>
      </c>
      <c r="K52" s="18"/>
      <c r="L52" s="18"/>
      <c r="M52" s="715"/>
      <c r="N52" s="659"/>
      <c r="O52" s="18"/>
      <c r="P52" s="717" t="e">
        <f>P42/P51</f>
        <v>#DIV/0!</v>
      </c>
      <c r="Q52" s="666"/>
      <c r="S52" s="309"/>
      <c r="U52" s="803"/>
      <c r="V52" s="25"/>
      <c r="W52" s="25"/>
      <c r="X52" s="25"/>
      <c r="Y52" s="25"/>
      <c r="Z52" s="25"/>
      <c r="AA52" s="25"/>
      <c r="AB52" s="25"/>
      <c r="AC52" s="25"/>
    </row>
    <row r="53" spans="3:29" ht="16.5" thickBot="1" x14ac:dyDescent="0.3">
      <c r="C53" s="17"/>
      <c r="G53" s="570"/>
      <c r="J53" s="1276"/>
      <c r="K53" s="871"/>
      <c r="L53" s="872" t="s">
        <v>751</v>
      </c>
      <c r="M53" s="872"/>
      <c r="N53" s="872"/>
      <c r="O53" s="873"/>
      <c r="P53" s="1276"/>
      <c r="Q53" s="27"/>
      <c r="S53" s="275"/>
      <c r="U53" s="803"/>
      <c r="V53" s="26"/>
      <c r="W53" s="26"/>
      <c r="X53" s="26"/>
      <c r="Y53" s="25"/>
      <c r="Z53" s="26"/>
      <c r="AA53" s="26"/>
      <c r="AB53" s="26"/>
      <c r="AC53" s="26"/>
    </row>
    <row r="54" spans="3:29" ht="19.5" thickBot="1" x14ac:dyDescent="0.35">
      <c r="C54" s="1877" t="s">
        <v>752</v>
      </c>
      <c r="D54" s="1878"/>
      <c r="E54" s="1879"/>
      <c r="G54" s="570"/>
      <c r="I54" s="806" t="s">
        <v>753</v>
      </c>
      <c r="J54" s="1517"/>
      <c r="K54" s="808"/>
      <c r="L54" s="808"/>
      <c r="M54" s="1880" t="e">
        <f>MAX(M43:N44)+MAX(M45:N46)</f>
        <v>#DIV/0!</v>
      </c>
      <c r="N54" s="1881"/>
      <c r="O54" s="808"/>
      <c r="P54" s="1517"/>
      <c r="Q54" s="809"/>
      <c r="S54" s="275"/>
      <c r="U54" s="803"/>
      <c r="V54" s="26"/>
      <c r="W54" s="26"/>
      <c r="X54" s="26"/>
      <c r="Y54" s="25"/>
      <c r="Z54" s="26"/>
      <c r="AA54" s="26"/>
      <c r="AB54" s="26"/>
      <c r="AC54" s="26"/>
    </row>
    <row r="55" spans="3:29" ht="19.5" thickBot="1" x14ac:dyDescent="0.35">
      <c r="C55" s="17">
        <v>11</v>
      </c>
      <c r="D55" s="579" t="b">
        <f>IF(J34=1,IF(J35=1,1380,0))</f>
        <v>0</v>
      </c>
      <c r="E55" s="578" t="b">
        <f>IF(J34=1,IF(J35=1,D51,0))</f>
        <v>0</v>
      </c>
      <c r="G55" s="570"/>
      <c r="I55" s="19" t="s">
        <v>1358</v>
      </c>
      <c r="J55" s="805"/>
      <c r="K55" s="663"/>
      <c r="L55" s="663"/>
      <c r="M55" s="1518" t="e">
        <f>IF(M54&gt;0.85-8.5/D17,D17,MAX(D16,8.5/(0.85-M54)))</f>
        <v>#DIV/0!</v>
      </c>
      <c r="N55" s="671"/>
      <c r="O55" s="663"/>
      <c r="P55" s="805"/>
      <c r="Q55" s="679"/>
      <c r="U55" s="803"/>
      <c r="V55" s="25"/>
      <c r="W55" s="25"/>
      <c r="X55" s="25"/>
      <c r="Y55" s="25"/>
      <c r="Z55" s="25"/>
      <c r="AA55" s="25"/>
      <c r="AB55" s="25"/>
      <c r="AC55" s="25"/>
    </row>
    <row r="56" spans="3:29" ht="19.5" thickBot="1" x14ac:dyDescent="0.35">
      <c r="C56" s="17">
        <v>12</v>
      </c>
      <c r="D56" s="579" t="b">
        <f>IF(J34=1,IF(J35=2,1420,0))</f>
        <v>0</v>
      </c>
      <c r="E56" s="578" t="b">
        <f>IF(J34=1,IF(J35=2,E51,0))</f>
        <v>0</v>
      </c>
      <c r="G56" s="570"/>
      <c r="I56" s="812" t="s">
        <v>113</v>
      </c>
      <c r="J56" s="1519"/>
      <c r="K56" s="690"/>
      <c r="L56" s="690"/>
      <c r="M56" s="1534"/>
      <c r="N56" s="690"/>
      <c r="O56" s="690"/>
      <c r="P56" s="1519"/>
      <c r="Q56" s="526"/>
      <c r="R56" s="18"/>
    </row>
    <row r="57" spans="3:29" ht="15.75" x14ac:dyDescent="0.25">
      <c r="C57" s="17">
        <f>21</f>
        <v>21</v>
      </c>
      <c r="D57" s="579" t="b">
        <f>IF(J34=2,IF(J35=1,1420,0))</f>
        <v>0</v>
      </c>
      <c r="E57" s="578" t="b">
        <f>IF(J34=2,IF(J35=1,D52,0))</f>
        <v>0</v>
      </c>
      <c r="F57" s="682"/>
      <c r="G57" s="570"/>
      <c r="I57" s="1520" t="s">
        <v>115</v>
      </c>
      <c r="J57" s="661"/>
      <c r="K57" s="18"/>
      <c r="L57" s="18"/>
      <c r="M57" s="9"/>
      <c r="N57" s="1521">
        <f>M57</f>
        <v>0</v>
      </c>
      <c r="O57" s="24"/>
      <c r="P57" s="659"/>
      <c r="Q57" s="570"/>
      <c r="R57" s="18"/>
    </row>
    <row r="58" spans="3:29" ht="16.5" thickBot="1" x14ac:dyDescent="0.3">
      <c r="C58" s="17">
        <v>22</v>
      </c>
      <c r="D58" s="579" t="b">
        <f>IF(J34=2,IF(J35=2,1385,0))</f>
        <v>0</v>
      </c>
      <c r="E58" s="578" t="b">
        <f>IF(J34=2,IF(J35=2,E52,0))</f>
        <v>0</v>
      </c>
      <c r="F58" s="1186"/>
      <c r="G58" s="1035"/>
      <c r="I58" s="818" t="s">
        <v>119</v>
      </c>
      <c r="J58" s="659"/>
      <c r="K58" s="18"/>
      <c r="L58" s="18"/>
      <c r="M58" s="1521">
        <f>M56-M57-10</f>
        <v>-10</v>
      </c>
      <c r="N58" s="1521">
        <f>M58</f>
        <v>-10</v>
      </c>
      <c r="O58" s="18"/>
      <c r="P58" s="659"/>
      <c r="Q58" s="570"/>
      <c r="R58" s="18"/>
      <c r="S58" s="275"/>
    </row>
    <row r="59" spans="3:29" ht="16.5" thickBot="1" x14ac:dyDescent="0.3">
      <c r="C59" s="17"/>
      <c r="D59" s="17"/>
      <c r="E59" s="570"/>
      <c r="F59" s="1190"/>
      <c r="G59" s="1035"/>
      <c r="I59" s="825" t="s">
        <v>115</v>
      </c>
      <c r="J59" s="1522"/>
      <c r="K59" s="1523"/>
      <c r="L59" s="1523"/>
      <c r="M59" s="826" t="e">
        <f>$D$20*M57+(1-$D$20)*(M56-10)*MAX(M43,M44,N43,N44)/(MAX(M43,M44,N43,N44)+MAX(M45,M46,N45,N46))</f>
        <v>#DIV/0!</v>
      </c>
      <c r="N59" s="826" t="e">
        <f>M59</f>
        <v>#DIV/0!</v>
      </c>
      <c r="O59" s="1524"/>
      <c r="P59" s="1525"/>
      <c r="Q59" s="561"/>
      <c r="R59" s="18"/>
    </row>
    <row r="60" spans="3:29" ht="16.5" thickBot="1" x14ac:dyDescent="0.3">
      <c r="C60" s="1026" t="s">
        <v>754</v>
      </c>
      <c r="D60" s="417">
        <f>MAX(D55:D58)</f>
        <v>0</v>
      </c>
      <c r="E60" s="419">
        <f>MAX(E55:E58)</f>
        <v>0</v>
      </c>
      <c r="F60" s="248"/>
      <c r="G60" s="666"/>
      <c r="I60" s="1112" t="s">
        <v>119</v>
      </c>
      <c r="J60" s="1526"/>
      <c r="K60" s="1527"/>
      <c r="L60" s="1527"/>
      <c r="M60" s="885" t="e">
        <f>M56-10-M59</f>
        <v>#DIV/0!</v>
      </c>
      <c r="N60" s="885" t="e">
        <f>M60</f>
        <v>#DIV/0!</v>
      </c>
      <c r="O60" s="1527"/>
      <c r="P60" s="1526"/>
      <c r="Q60" s="666"/>
      <c r="R60" s="18"/>
      <c r="S60" s="275"/>
    </row>
    <row r="61" spans="3:29" ht="16.5" thickBot="1" x14ac:dyDescent="0.3">
      <c r="C61" s="1877" t="s">
        <v>755</v>
      </c>
      <c r="D61" s="1878"/>
      <c r="E61" s="1879"/>
      <c r="G61" s="570"/>
      <c r="J61" s="836" t="str">
        <f>J29</f>
        <v>NB</v>
      </c>
      <c r="K61" s="776"/>
      <c r="M61" s="1528" t="s">
        <v>726</v>
      </c>
      <c r="N61" s="1529" t="s">
        <v>727</v>
      </c>
      <c r="O61" s="774"/>
      <c r="P61" s="836" t="str">
        <f>P29</f>
        <v>SB</v>
      </c>
      <c r="Q61" s="776"/>
      <c r="R61" s="25"/>
    </row>
    <row r="62" spans="3:29" x14ac:dyDescent="0.25">
      <c r="C62" s="17">
        <v>11</v>
      </c>
      <c r="D62" s="579" t="b">
        <f>IF(P34=1,IF(P35=1,1380,0))</f>
        <v>0</v>
      </c>
      <c r="E62" s="578" t="b">
        <f>IF(P34=1,IF(P35=1,D51,0))</f>
        <v>0</v>
      </c>
      <c r="G62" s="570"/>
      <c r="I62" s="560" t="s">
        <v>1359</v>
      </c>
      <c r="J62" s="1415"/>
      <c r="K62" s="484"/>
      <c r="L62" s="658">
        <f>K9</f>
        <v>0</v>
      </c>
      <c r="M62" s="886" t="e">
        <f>M43/(M59/$M$56)</f>
        <v>#DIV/0!</v>
      </c>
      <c r="N62" s="886" t="e">
        <f>N43/(N59/$M$56)</f>
        <v>#DIV/0!</v>
      </c>
      <c r="O62" s="658" t="str">
        <f>L63</f>
        <v>EB</v>
      </c>
      <c r="P62" s="1415"/>
      <c r="Q62" s="561"/>
      <c r="R62" s="26"/>
      <c r="S62" s="399"/>
    </row>
    <row r="63" spans="3:29" x14ac:dyDescent="0.25">
      <c r="C63" s="17">
        <v>12</v>
      </c>
      <c r="D63" s="579" t="b">
        <f>IF(P34=1,IF(P35=2,1420,0))</f>
        <v>0</v>
      </c>
      <c r="E63" s="578" t="b">
        <f>IF(P34=1,IF(P35=2,E58,0))</f>
        <v>0</v>
      </c>
      <c r="G63" s="570"/>
      <c r="I63" s="17" t="s">
        <v>1360</v>
      </c>
      <c r="J63" s="659"/>
      <c r="L63" s="18" t="str">
        <f>Q9</f>
        <v>EB</v>
      </c>
      <c r="M63" s="837" t="e">
        <f>M44/(M59/M56)</f>
        <v>#DIV/0!</v>
      </c>
      <c r="N63" s="837" t="e">
        <f>N44/(N60/$M$56)</f>
        <v>#DIV/0!</v>
      </c>
      <c r="O63" s="18">
        <f>L62</f>
        <v>0</v>
      </c>
      <c r="P63" s="659"/>
      <c r="Q63" s="570"/>
      <c r="R63" s="25"/>
    </row>
    <row r="64" spans="3:29" x14ac:dyDescent="0.25">
      <c r="C64" s="17">
        <f>21</f>
        <v>21</v>
      </c>
      <c r="D64" s="579" t="b">
        <f>IF(P34=2,IF(P35=1,1420,0))</f>
        <v>0</v>
      </c>
      <c r="E64" s="578" t="b">
        <f>IF(P34=2,IF(P35=1,D52,0))</f>
        <v>0</v>
      </c>
      <c r="G64" s="570"/>
      <c r="I64" s="17" t="s">
        <v>1361</v>
      </c>
      <c r="J64" s="659">
        <v>0</v>
      </c>
      <c r="L64" s="18" t="str">
        <f>N9</f>
        <v>NB</v>
      </c>
      <c r="M64" s="837" t="e">
        <f>M45/(M60/M56)</f>
        <v>#DIV/0!</v>
      </c>
      <c r="N64" s="837" t="e">
        <f>N45/(N60/$M$56)</f>
        <v>#DIV/0!</v>
      </c>
      <c r="O64" s="18" t="str">
        <f>L65</f>
        <v>SB</v>
      </c>
      <c r="P64" s="659">
        <v>0</v>
      </c>
      <c r="Q64" s="570"/>
      <c r="U64" s="275"/>
      <c r="W64" s="14"/>
      <c r="Z64" s="14"/>
      <c r="AC64" s="14"/>
    </row>
    <row r="65" spans="3:29" ht="15.75" thickBot="1" x14ac:dyDescent="0.3">
      <c r="C65" s="17">
        <v>22</v>
      </c>
      <c r="D65" s="579" t="b">
        <f>IF(P34=2,IF(P35=2,1385,0))</f>
        <v>0</v>
      </c>
      <c r="E65" s="578" t="b">
        <f>IF(P34=2,IF(P35=2,E52,0))</f>
        <v>0</v>
      </c>
      <c r="G65" s="570"/>
      <c r="I65" s="19" t="s">
        <v>1362</v>
      </c>
      <c r="J65" s="805"/>
      <c r="K65" s="248"/>
      <c r="L65" s="663" t="str">
        <f>T9</f>
        <v>SB</v>
      </c>
      <c r="M65" s="804" t="e">
        <f>M46/(M60/M56)</f>
        <v>#DIV/0!</v>
      </c>
      <c r="N65" s="804" t="e">
        <f>N46/(N60/$M$56)</f>
        <v>#DIV/0!</v>
      </c>
      <c r="O65" s="663" t="str">
        <f>L64</f>
        <v>NB</v>
      </c>
      <c r="P65" s="805"/>
      <c r="Q65" s="666"/>
      <c r="W65" s="14"/>
      <c r="Z65" s="14"/>
      <c r="AC65" s="14"/>
    </row>
    <row r="66" spans="3:29" ht="15.75" thickBot="1" x14ac:dyDescent="0.3">
      <c r="C66" s="17"/>
      <c r="D66" s="17"/>
      <c r="E66" s="570"/>
      <c r="G66" s="570"/>
      <c r="I66" s="560" t="s">
        <v>966</v>
      </c>
      <c r="J66" s="484"/>
      <c r="K66" s="484"/>
      <c r="L66" s="484"/>
      <c r="M66" s="886" t="e">
        <f>MAX(0,(1-VLOOKUP($D$19,$D$73:$E$78,2,FALSE)*M59/$M$56)/(1-M59/M56))</f>
        <v>#N/A</v>
      </c>
      <c r="N66" s="886" t="e">
        <f>M66</f>
        <v>#N/A</v>
      </c>
      <c r="O66" s="484"/>
      <c r="P66" s="484"/>
      <c r="Q66" s="561"/>
      <c r="W66" s="14"/>
      <c r="Z66" s="14"/>
      <c r="AC66" s="14"/>
    </row>
    <row r="67" spans="3:29" ht="15.75" thickBot="1" x14ac:dyDescent="0.3">
      <c r="C67" s="1026" t="s">
        <v>754</v>
      </c>
      <c r="D67" s="417">
        <f>MAX(D62:D65)</f>
        <v>0</v>
      </c>
      <c r="E67" s="419">
        <f>MAX(E62:E65)</f>
        <v>0</v>
      </c>
      <c r="F67" s="248"/>
      <c r="G67" s="666"/>
      <c r="I67" s="17" t="s">
        <v>967</v>
      </c>
      <c r="M67" s="837" t="e">
        <f>M66</f>
        <v>#N/A</v>
      </c>
      <c r="N67" s="837" t="e">
        <f>N66</f>
        <v>#N/A</v>
      </c>
      <c r="Q67" s="570"/>
      <c r="W67" s="14"/>
      <c r="Z67" s="14"/>
      <c r="AC67" s="14"/>
    </row>
    <row r="68" spans="3:29" x14ac:dyDescent="0.25">
      <c r="I68" s="17" t="s">
        <v>968</v>
      </c>
      <c r="M68" s="308">
        <v>1</v>
      </c>
      <c r="N68" s="308">
        <v>1</v>
      </c>
      <c r="Q68" s="570"/>
    </row>
    <row r="69" spans="3:29" ht="15.75" thickBot="1" x14ac:dyDescent="0.3">
      <c r="I69" s="19" t="s">
        <v>969</v>
      </c>
      <c r="J69" s="248"/>
      <c r="K69" s="248"/>
      <c r="L69" s="248"/>
      <c r="M69" s="718">
        <v>1</v>
      </c>
      <c r="N69" s="718">
        <v>1</v>
      </c>
      <c r="O69" s="248"/>
      <c r="P69" s="248"/>
      <c r="Q69" s="666"/>
    </row>
    <row r="70" spans="3:29" x14ac:dyDescent="0.25">
      <c r="I70" s="560" t="s">
        <v>756</v>
      </c>
      <c r="J70" s="799"/>
      <c r="K70" s="484"/>
      <c r="L70" s="658">
        <f>L62</f>
        <v>0</v>
      </c>
      <c r="M70" s="713" t="e">
        <f>M66*0.5*M56*(1-M59/M56)^2/(1-M43)+225*(M62-1+SQRT((M62-1)^2+16*M62/(M36/M62)))</f>
        <v>#N/A</v>
      </c>
      <c r="N70" s="713" t="e">
        <f>N66*0.5*M56*(1-N59/M56)^2/(1-N43)+225*(N62-1+SQRT((N62-1)^2+16*N62/(N36/N62)))</f>
        <v>#N/A</v>
      </c>
      <c r="O70" s="658" t="str">
        <f>O62</f>
        <v>EB</v>
      </c>
      <c r="P70" s="799"/>
      <c r="Q70" s="561"/>
    </row>
    <row r="71" spans="3:29" ht="15.75" thickBot="1" x14ac:dyDescent="0.3">
      <c r="I71" s="17" t="s">
        <v>757</v>
      </c>
      <c r="J71" s="725"/>
      <c r="L71" s="18" t="str">
        <f>L63</f>
        <v>EB</v>
      </c>
      <c r="M71" s="308">
        <f>IF(M31=0,0,M66*0.5*$M$56*(1-M59/$M$56)^2/(1-M44)+225*(M63-1+SQRT((M63-1)^2+16*M63/(M37/M63))))</f>
        <v>0</v>
      </c>
      <c r="N71" s="308">
        <f>IF(N31=0,0,N66*0.5*$M$56*(1-N59/$M$56)^2/(1-N44)+225*(N63-1+SQRT((N63-1)^2+16*N63/(N37/N63))))</f>
        <v>0</v>
      </c>
      <c r="O71" s="18">
        <f>O63</f>
        <v>0</v>
      </c>
      <c r="P71" s="725"/>
      <c r="Q71" s="570"/>
    </row>
    <row r="72" spans="3:29" x14ac:dyDescent="0.25">
      <c r="D72" s="315" t="s">
        <v>946</v>
      </c>
      <c r="E72" s="316" t="s">
        <v>948</v>
      </c>
      <c r="I72" s="17" t="s">
        <v>758</v>
      </c>
      <c r="J72" s="725"/>
      <c r="L72" s="18" t="str">
        <f>L64</f>
        <v>NB</v>
      </c>
      <c r="M72" s="308" t="e">
        <f>0.5*M56*(1-M60/M56)^2/(1-M45)+225*(M64-1+SQRT((M64-1)^2+16*M64/(M38/M64)))</f>
        <v>#DIV/0!</v>
      </c>
      <c r="N72" s="308" t="e">
        <f>0.5*M56*(1-N60/M56)^2/(1-N45)+225*(N64-1+SQRT((N64-1)^2+16*N64/(N38/N64)))</f>
        <v>#DIV/0!</v>
      </c>
      <c r="O72" s="18" t="str">
        <f>O64</f>
        <v>SB</v>
      </c>
      <c r="P72" s="725"/>
      <c r="Q72" s="570"/>
    </row>
    <row r="73" spans="3:29" ht="15.75" thickBot="1" x14ac:dyDescent="0.3">
      <c r="D73" s="317">
        <v>1</v>
      </c>
      <c r="E73" s="318">
        <v>0.33</v>
      </c>
      <c r="I73" s="17" t="s">
        <v>759</v>
      </c>
      <c r="J73" s="725"/>
      <c r="L73" s="18" t="str">
        <f>L65</f>
        <v>SB</v>
      </c>
      <c r="M73" s="308">
        <f>IF(M33=0,0,0.5*M56*(1-M60/M56)^2/(1-M45)+225*(M65-1+SQRT((M65-1)^2+16*M65/(M39/M65))))</f>
        <v>0</v>
      </c>
      <c r="N73" s="308">
        <f>IF(N33=0,0,0.5*M56*(1-N60/M56)^2/(1-N45)+225*(N65-1+SQRT((N65-1)^2+16*N65/(N39/N65))))</f>
        <v>0</v>
      </c>
      <c r="O73" s="18" t="str">
        <f>O65</f>
        <v>NB</v>
      </c>
      <c r="P73" s="725"/>
      <c r="Q73" s="570"/>
    </row>
    <row r="74" spans="3:29" x14ac:dyDescent="0.25">
      <c r="D74" s="317">
        <v>2</v>
      </c>
      <c r="E74" s="318">
        <v>0.67</v>
      </c>
      <c r="I74" s="560" t="s">
        <v>1363</v>
      </c>
      <c r="J74" s="713" t="e">
        <f>3600/J49+225*(J50-1+SQRT((J50-1)^2+32*J50/J49))+5*MIN(J50,1)</f>
        <v>#DIV/0!</v>
      </c>
      <c r="K74" s="713"/>
      <c r="L74" s="713"/>
      <c r="M74" s="799"/>
      <c r="N74" s="799"/>
      <c r="O74" s="713"/>
      <c r="P74" s="713" t="e">
        <f>3600/P49+225*(P50-1+SQRT((P50-1)^2+32*P50/P49))+5*MIN(P50,1)</f>
        <v>#DIV/0!</v>
      </c>
      <c r="Q74" s="561"/>
    </row>
    <row r="75" spans="3:29" ht="15.75" thickBot="1" x14ac:dyDescent="0.3">
      <c r="D75" s="317">
        <v>3</v>
      </c>
      <c r="E75" s="318">
        <v>1</v>
      </c>
      <c r="I75" s="19" t="s">
        <v>1364</v>
      </c>
      <c r="J75" s="718" t="e">
        <f>3600/J51+225*(J52-1+SQRT((J52-1)^2+32*J52/J51))</f>
        <v>#DIV/0!</v>
      </c>
      <c r="K75" s="718"/>
      <c r="L75" s="718"/>
      <c r="M75" s="800"/>
      <c r="N75" s="800"/>
      <c r="O75" s="718"/>
      <c r="P75" s="718" t="e">
        <f>3600/P51+225*(P52-1+SQRT((P52-1)^2+32*P52/P51))</f>
        <v>#DIV/0!</v>
      </c>
      <c r="Q75" s="666"/>
    </row>
    <row r="76" spans="3:29" ht="15.75" thickBot="1" x14ac:dyDescent="0.3">
      <c r="D76" s="317">
        <v>4</v>
      </c>
      <c r="E76" s="318">
        <v>1.33</v>
      </c>
      <c r="I76" s="1530" t="s">
        <v>1365</v>
      </c>
      <c r="J76" s="1252" t="e">
        <f>((J40+J41)*J74+SUM(M13:O13)*J75)/(J40+J41+SUM(M13:O13))</f>
        <v>#DIV/0!</v>
      </c>
      <c r="K76" s="1531"/>
      <c r="L76" s="1531"/>
      <c r="M76" s="1874" t="e">
        <f>(SUMPRODUCT(M70:M73,M36:M39)+SUMPRODUCT(N70:N73,N36:N39))/SUM(M36:N39)</f>
        <v>#N/A</v>
      </c>
      <c r="N76" s="1875"/>
      <c r="O76" s="1531"/>
      <c r="P76" s="1252" t="e">
        <f>((P40+P41)*P74+SUM(S13:U13)*P75)/(P40+P41+SUM(S13:U13))</f>
        <v>#DIV/0!</v>
      </c>
      <c r="Q76" s="1253"/>
    </row>
    <row r="77" spans="3:29" x14ac:dyDescent="0.25">
      <c r="D77" s="317">
        <v>5</v>
      </c>
      <c r="E77" s="318">
        <v>1.67</v>
      </c>
      <c r="I77" s="560" t="s">
        <v>1366</v>
      </c>
      <c r="J77" s="731" t="e">
        <f>25*225*J49/(3600*J34)*(J50-1+SQRT((J50-1)^2+96*J50/(J49*J34)))</f>
        <v>#DIV/0!</v>
      </c>
      <c r="K77" s="713"/>
      <c r="L77" s="713"/>
      <c r="M77" s="1434"/>
      <c r="N77" s="799"/>
      <c r="O77" s="713"/>
      <c r="P77" s="731" t="e">
        <f>25*225*P49/(3600*P34)*(P50-1+SQRT((P50-1)^2+96*P50/P49))</f>
        <v>#DIV/0!</v>
      </c>
      <c r="Q77" s="843"/>
    </row>
    <row r="78" spans="3:29" ht="15.75" thickBot="1" x14ac:dyDescent="0.3">
      <c r="D78" s="330">
        <v>6</v>
      </c>
      <c r="E78" s="331">
        <v>2</v>
      </c>
      <c r="I78" s="17" t="s">
        <v>1368</v>
      </c>
      <c r="J78" s="725"/>
      <c r="K78" s="308"/>
      <c r="L78" s="308"/>
      <c r="M78" s="20" t="e">
        <f>(2*25*M72*$O$26*M60/$M$56)/(3600*M32)</f>
        <v>#DIV/0!</v>
      </c>
      <c r="N78" s="20" t="e">
        <f>(2*25*N72*$O$26*N60/$M$56)/(3600*N32)</f>
        <v>#DIV/0!</v>
      </c>
      <c r="O78" s="308"/>
      <c r="P78" s="1532"/>
      <c r="Q78" s="570"/>
    </row>
    <row r="79" spans="3:29" ht="15.75" thickBot="1" x14ac:dyDescent="0.3">
      <c r="I79" s="19" t="s">
        <v>1367</v>
      </c>
      <c r="J79" s="800"/>
      <c r="K79" s="718"/>
      <c r="L79" s="718"/>
      <c r="M79" s="671">
        <f>IF(M33=0,0,(2*25*M73*$O$26*M60/$M$56)/(3600*M33))</f>
        <v>0</v>
      </c>
      <c r="N79" s="671">
        <f>IF(N33=0,0,(2*25*N73*$O$26*N60/$M$56)/(3600*N33))</f>
        <v>0</v>
      </c>
      <c r="O79" s="718"/>
      <c r="P79" s="1533"/>
      <c r="Q79" s="666"/>
    </row>
    <row r="82" spans="10:17" x14ac:dyDescent="0.25">
      <c r="J82" s="308"/>
      <c r="K82" s="308"/>
      <c r="L82" s="308"/>
      <c r="M82" s="20"/>
      <c r="N82" s="308"/>
      <c r="O82" s="308"/>
      <c r="P82" s="308"/>
    </row>
    <row r="83" spans="10:17" x14ac:dyDescent="0.25">
      <c r="J83" s="20"/>
      <c r="K83" s="308"/>
      <c r="L83" s="308"/>
      <c r="M83" s="308"/>
      <c r="N83" s="308"/>
      <c r="O83" s="308"/>
      <c r="P83" s="20"/>
      <c r="Q83" s="308"/>
    </row>
    <row r="84" spans="10:17" x14ac:dyDescent="0.25">
      <c r="J84" s="14"/>
      <c r="K84" s="14"/>
      <c r="L84" s="14"/>
      <c r="M84" s="14"/>
      <c r="N84" s="14"/>
      <c r="O84" s="14"/>
      <c r="P84" s="14"/>
    </row>
  </sheetData>
  <sheetProtection algorithmName="SHA-512" hashValue="Dtuo00vgB8WgkhnwBsFi3NtCJvVIG9onDDrp3IZFppMBhJ6jJ0CiX9s5eSlz8sl+syVldxHRMmFZVSWUc78ZWw==" saltValue="4+S4+ZKP4pK9oDn+9LFnjQ==" spinCount="100000" sheet="1" objects="1" scenarios="1"/>
  <mergeCells count="19">
    <mergeCell ref="B3:D3"/>
    <mergeCell ref="I3:U3"/>
    <mergeCell ref="D5:H5"/>
    <mergeCell ref="F6:H6"/>
    <mergeCell ref="F11:G11"/>
    <mergeCell ref="M76:N76"/>
    <mergeCell ref="W6:X6"/>
    <mergeCell ref="F7:G7"/>
    <mergeCell ref="W7:X7"/>
    <mergeCell ref="J29:K29"/>
    <mergeCell ref="P29:Q29"/>
    <mergeCell ref="F12:G12"/>
    <mergeCell ref="J28:K28"/>
    <mergeCell ref="M28:N28"/>
    <mergeCell ref="P28:Q28"/>
    <mergeCell ref="C44:G44"/>
    <mergeCell ref="C54:E54"/>
    <mergeCell ref="M54:N54"/>
    <mergeCell ref="C61:E61"/>
  </mergeCells>
  <conditionalFormatting sqref="J84 M84 P84">
    <cfRule type="containsText" dxfId="4" priority="10" operator="containsText" text="NO-LOSF">
      <formula>NOT(ISERROR(SEARCH("NO-LOSF",J84)))</formula>
    </cfRule>
  </conditionalFormatting>
  <conditionalFormatting sqref="J54:M54 O54:P54">
    <cfRule type="containsText" dxfId="3" priority="4" operator="containsText" text="OVERCAP">
      <formula>NOT(ISERROR(SEARCH("OVERCAP",J54)))</formula>
    </cfRule>
  </conditionalFormatting>
  <conditionalFormatting sqref="J16:U16">
    <cfRule type="colorScale" priority="9">
      <colorScale>
        <cfvo type="min"/>
        <cfvo type="percentile" val="50"/>
        <cfvo type="max"/>
        <color rgb="FF63BE7B"/>
        <color rgb="FFFFEB84"/>
        <color rgb="FFF8696B"/>
      </colorScale>
    </cfRule>
  </conditionalFormatting>
  <conditionalFormatting sqref="J18:U18">
    <cfRule type="cellIs" dxfId="2" priority="7" operator="equal">
      <formula>"F"</formula>
    </cfRule>
    <cfRule type="colorScale" priority="8">
      <colorScale>
        <cfvo type="min"/>
        <cfvo type="percentile" val="50"/>
        <cfvo type="max"/>
        <color rgb="FF63BE7B"/>
        <color rgb="FFFFEB84"/>
        <color rgb="FFF8696B"/>
      </colorScale>
    </cfRule>
  </conditionalFormatting>
  <conditionalFormatting sqref="J23:U23">
    <cfRule type="colorScale" priority="5">
      <colorScale>
        <cfvo type="min"/>
        <cfvo type="percentile" val="50"/>
        <cfvo type="max"/>
        <color rgb="FF63BE7B"/>
        <color rgb="FFFFEB84"/>
        <color rgb="FFF8696B"/>
      </colorScale>
    </cfRule>
  </conditionalFormatting>
  <conditionalFormatting sqref="M74:M75 J70">
    <cfRule type="colorScale" priority="12">
      <colorScale>
        <cfvo type="min"/>
        <cfvo type="percentile" val="50"/>
        <cfvo type="max"/>
        <color rgb="FF63BE7B"/>
        <color rgb="FFFFEB84"/>
        <color rgb="FFF8696B"/>
      </colorScale>
    </cfRule>
  </conditionalFormatting>
  <conditionalFormatting sqref="J83 M82 P83">
    <cfRule type="colorScale" priority="11">
      <colorScale>
        <cfvo type="min"/>
        <cfvo type="percentile" val="50"/>
        <cfvo type="max"/>
        <color rgb="FF63BE7B"/>
        <color rgb="FFFFEB84"/>
        <color rgb="FFF8696B"/>
      </colorScale>
    </cfRule>
  </conditionalFormatting>
  <conditionalFormatting sqref="M62:N65">
    <cfRule type="cellIs" dxfId="1" priority="1" operator="greaterThan">
      <formula>1</formula>
    </cfRule>
  </conditionalFormatting>
  <conditionalFormatting sqref="P70">
    <cfRule type="colorScale" priority="13">
      <colorScale>
        <cfvo type="min"/>
        <cfvo type="percentile" val="50"/>
        <cfvo type="max"/>
        <color rgb="FF63BE7B"/>
        <color rgb="FFFFEB84"/>
        <color rgb="FFF8696B"/>
      </colorScale>
    </cfRule>
  </conditionalFormatting>
  <conditionalFormatting sqref="U20">
    <cfRule type="containsText" dxfId="0" priority="6" operator="containsText" text="YES">
      <formula>NOT(ISERROR(SEARCH("YES",U20)))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B80"/>
  <sheetViews>
    <sheetView showGridLines="0" topLeftCell="B1" zoomScaleNormal="100" workbookViewId="0">
      <selection activeCell="F57" sqref="F57"/>
    </sheetView>
  </sheetViews>
  <sheetFormatPr defaultColWidth="8.85546875" defaultRowHeight="15" x14ac:dyDescent="0.25"/>
  <cols>
    <col min="1" max="1" width="2" hidden="1" customWidth="1"/>
    <col min="2" max="2" width="1.28515625" customWidth="1"/>
    <col min="3" max="3" width="7" customWidth="1"/>
    <col min="4" max="4" width="44.28515625" customWidth="1"/>
    <col min="5" max="5" width="27.28515625" customWidth="1"/>
    <col min="6" max="6" width="9.42578125" customWidth="1"/>
    <col min="7" max="7" width="13.28515625" customWidth="1"/>
    <col min="8" max="8" width="31.42578125" customWidth="1"/>
    <col min="9" max="9" width="14.42578125" customWidth="1"/>
    <col min="10" max="10" width="10.140625" customWidth="1"/>
    <col min="11" max="11" width="1.7109375" customWidth="1"/>
    <col min="12" max="12" width="7.7109375" customWidth="1"/>
    <col min="13" max="13" width="9.140625" customWidth="1"/>
    <col min="18" max="18" width="8.28515625" customWidth="1"/>
    <col min="19" max="19" width="22.140625" customWidth="1"/>
    <col min="20" max="20" width="3.85546875" hidden="1" customWidth="1"/>
    <col min="22" max="22" width="7.42578125" customWidth="1"/>
    <col min="23" max="23" width="12.42578125" customWidth="1"/>
    <col min="24" max="24" width="7.85546875" customWidth="1"/>
    <col min="26" max="26" width="8" customWidth="1"/>
  </cols>
  <sheetData>
    <row r="1" spans="3:28" x14ac:dyDescent="0.25">
      <c r="I1" s="68" t="s">
        <v>942</v>
      </c>
      <c r="J1" s="68"/>
    </row>
    <row r="2" spans="3:28" ht="23.25" hidden="1" x14ac:dyDescent="0.35">
      <c r="C2" s="1564"/>
      <c r="D2" s="1564"/>
      <c r="I2" s="68"/>
      <c r="J2" s="68"/>
      <c r="N2" s="179"/>
    </row>
    <row r="3" spans="3:28" hidden="1" x14ac:dyDescent="0.25"/>
    <row r="4" spans="3:28" hidden="1" x14ac:dyDescent="0.25"/>
    <row r="5" spans="3:28" hidden="1" x14ac:dyDescent="0.25"/>
    <row r="6" spans="3:28" hidden="1" x14ac:dyDescent="0.25">
      <c r="C6" s="180"/>
    </row>
    <row r="7" spans="3:28" hidden="1" x14ac:dyDescent="0.25"/>
    <row r="8" spans="3:28" ht="12.75" hidden="1" customHeight="1" x14ac:dyDescent="0.25">
      <c r="W8" s="181"/>
      <c r="X8" s="182"/>
      <c r="Y8" s="182"/>
      <c r="Z8" s="182"/>
      <c r="AA8" s="182"/>
      <c r="AB8" s="182"/>
    </row>
    <row r="9" spans="3:28" ht="12.75" hidden="1" customHeight="1" x14ac:dyDescent="0.25">
      <c r="W9" s="181"/>
      <c r="X9" s="181"/>
      <c r="Y9" s="181"/>
      <c r="Z9" s="181"/>
      <c r="AA9" s="181"/>
      <c r="AB9" s="182"/>
    </row>
    <row r="10" spans="3:28" ht="15.75" hidden="1" x14ac:dyDescent="0.25">
      <c r="W10" s="181"/>
      <c r="X10" s="181"/>
      <c r="Y10" s="181"/>
      <c r="Z10" s="181"/>
      <c r="AA10" s="181"/>
      <c r="AB10" s="182"/>
    </row>
    <row r="11" spans="3:28" hidden="1" x14ac:dyDescent="0.25"/>
    <row r="12" spans="3:28" ht="15.75" hidden="1" x14ac:dyDescent="0.25">
      <c r="W12" s="181"/>
      <c r="X12" s="181"/>
      <c r="Y12" s="181"/>
      <c r="Z12" s="181"/>
      <c r="AA12" s="181"/>
      <c r="AB12" s="182"/>
    </row>
    <row r="13" spans="3:28" ht="15.75" hidden="1" x14ac:dyDescent="0.25">
      <c r="W13" s="181"/>
      <c r="X13" s="181"/>
      <c r="Y13" s="181"/>
      <c r="Z13" s="181"/>
      <c r="AA13" s="181"/>
      <c r="AB13" s="182"/>
    </row>
    <row r="14" spans="3:28" ht="15.75" hidden="1" x14ac:dyDescent="0.25">
      <c r="W14" s="181"/>
      <c r="X14" s="181"/>
      <c r="Y14" s="181"/>
      <c r="Z14" s="181"/>
      <c r="AA14" s="181"/>
      <c r="AB14" s="182"/>
    </row>
    <row r="16" spans="3:28" ht="28.5" x14ac:dyDescent="0.45">
      <c r="H16" s="1558" t="s">
        <v>232</v>
      </c>
      <c r="I16" s="1558"/>
      <c r="J16" s="1558"/>
      <c r="K16" s="1558"/>
      <c r="L16" s="1558"/>
      <c r="M16" s="1558"/>
      <c r="N16" s="1558"/>
      <c r="O16" s="1558"/>
      <c r="P16" s="1558"/>
      <c r="W16" s="181"/>
      <c r="X16" s="181"/>
      <c r="Y16" s="181"/>
      <c r="Z16" s="181"/>
      <c r="AA16" s="181"/>
      <c r="AB16" s="181"/>
    </row>
    <row r="17" spans="4:28" ht="15.75" x14ac:dyDescent="0.25">
      <c r="W17" s="181"/>
      <c r="X17" s="181"/>
      <c r="Y17" s="181"/>
      <c r="Z17" s="181"/>
      <c r="AA17" s="181"/>
      <c r="AB17" s="181"/>
    </row>
    <row r="18" spans="4:28" ht="15.75" hidden="1" x14ac:dyDescent="0.25">
      <c r="J18" s="1575"/>
      <c r="K18" s="1575"/>
      <c r="L18" s="1575"/>
      <c r="M18" s="1575"/>
      <c r="W18" s="183"/>
      <c r="X18" s="181"/>
      <c r="Y18" s="181"/>
      <c r="Z18" s="181"/>
      <c r="AA18" s="181"/>
      <c r="AB18" s="181"/>
    </row>
    <row r="19" spans="4:28" ht="15.75" hidden="1" x14ac:dyDescent="0.25">
      <c r="J19" s="181"/>
      <c r="K19" s="181"/>
      <c r="L19" s="184"/>
      <c r="M19" s="181"/>
    </row>
    <row r="20" spans="4:28" ht="15.75" hidden="1" x14ac:dyDescent="0.25">
      <c r="I20" s="119"/>
      <c r="J20" s="1552"/>
      <c r="K20" s="1552"/>
      <c r="L20" s="1552"/>
      <c r="W20" s="181"/>
      <c r="X20" s="181"/>
      <c r="Y20" s="181"/>
      <c r="Z20" s="181"/>
      <c r="AA20" s="181"/>
      <c r="AB20" s="181"/>
    </row>
    <row r="21" spans="4:28" ht="16.5" thickBot="1" x14ac:dyDescent="0.3">
      <c r="I21" s="119"/>
      <c r="W21" s="181"/>
      <c r="X21" s="181"/>
      <c r="Y21" s="181"/>
      <c r="Z21" s="181"/>
      <c r="AA21" s="181"/>
      <c r="AB21" s="181"/>
    </row>
    <row r="22" spans="4:28" ht="19.5" thickBot="1" x14ac:dyDescent="0.35">
      <c r="D22" s="185" t="s">
        <v>453</v>
      </c>
      <c r="E22" s="1559" t="s">
        <v>977</v>
      </c>
      <c r="F22" s="1560"/>
      <c r="G22" s="1560"/>
      <c r="H22" s="1560"/>
      <c r="I22" s="1560"/>
      <c r="J22" s="1561"/>
      <c r="W22" s="181"/>
      <c r="X22" s="181"/>
      <c r="Y22" s="181"/>
      <c r="Z22" s="181"/>
      <c r="AA22" s="181"/>
      <c r="AB22" s="181"/>
    </row>
    <row r="23" spans="4:28" ht="15.75" customHeight="1" x14ac:dyDescent="0.25">
      <c r="D23" s="15"/>
      <c r="E23" s="186" t="s">
        <v>943</v>
      </c>
      <c r="F23" s="187"/>
      <c r="G23" s="187"/>
      <c r="H23" s="187"/>
      <c r="I23" s="187"/>
      <c r="J23" s="188"/>
      <c r="W23" s="114"/>
      <c r="X23" s="114"/>
      <c r="Y23" s="114"/>
      <c r="Z23" s="114"/>
      <c r="AA23" s="114"/>
      <c r="AB23" s="114"/>
    </row>
    <row r="24" spans="4:28" ht="15.75" x14ac:dyDescent="0.25">
      <c r="D24" s="15"/>
      <c r="E24" s="186" t="s">
        <v>978</v>
      </c>
      <c r="F24" s="42"/>
      <c r="G24" s="42"/>
      <c r="H24" s="42"/>
      <c r="I24" s="42"/>
      <c r="J24" s="189"/>
    </row>
    <row r="25" spans="4:28" ht="15.75" customHeight="1" x14ac:dyDescent="0.25">
      <c r="D25" s="15"/>
      <c r="E25" s="1568" t="s">
        <v>1145</v>
      </c>
      <c r="F25" s="1569"/>
      <c r="G25" s="1569"/>
      <c r="H25" s="1569"/>
      <c r="I25" s="1569"/>
      <c r="J25" s="1570"/>
    </row>
    <row r="26" spans="4:28" ht="16.5" customHeight="1" thickBot="1" x14ac:dyDescent="0.3">
      <c r="E26" s="190" t="s">
        <v>944</v>
      </c>
      <c r="F26" s="191"/>
      <c r="G26" s="191"/>
      <c r="H26" s="191"/>
      <c r="I26" s="191"/>
      <c r="J26" s="192"/>
    </row>
    <row r="28" spans="4:28" hidden="1" x14ac:dyDescent="0.25"/>
    <row r="29" spans="4:28" hidden="1" x14ac:dyDescent="0.25"/>
    <row r="30" spans="4:28" hidden="1" x14ac:dyDescent="0.25"/>
    <row r="31" spans="4:28" hidden="1" x14ac:dyDescent="0.25"/>
    <row r="32" spans="4:28" ht="17.25" hidden="1" customHeight="1" x14ac:dyDescent="0.25"/>
    <row r="33" spans="4:10" ht="30.75" hidden="1" customHeight="1" x14ac:dyDescent="0.25"/>
    <row r="34" spans="4:10" ht="14.25" customHeight="1" x14ac:dyDescent="0.25"/>
    <row r="35" spans="4:10" ht="17.25" customHeight="1" x14ac:dyDescent="0.25"/>
    <row r="36" spans="4:10" ht="2.25" customHeight="1" x14ac:dyDescent="0.25">
      <c r="D36" s="15"/>
      <c r="E36" s="18"/>
      <c r="F36" s="18"/>
      <c r="G36" s="18"/>
      <c r="H36" s="18"/>
      <c r="I36" s="18"/>
      <c r="J36" s="18"/>
    </row>
    <row r="37" spans="4:10" ht="9" customHeight="1" thickBot="1" x14ac:dyDescent="0.3"/>
    <row r="38" spans="4:10" ht="15.75" hidden="1" customHeight="1" thickBot="1" x14ac:dyDescent="0.3"/>
    <row r="39" spans="4:10" ht="15.75" hidden="1" customHeight="1" thickBot="1" x14ac:dyDescent="0.3"/>
    <row r="40" spans="4:10" ht="15.75" hidden="1" customHeight="1" thickBot="1" x14ac:dyDescent="0.3"/>
    <row r="41" spans="4:10" ht="15.75" hidden="1" customHeight="1" thickBot="1" x14ac:dyDescent="0.3"/>
    <row r="42" spans="4:10" ht="15.75" hidden="1" customHeight="1" thickBot="1" x14ac:dyDescent="0.3"/>
    <row r="43" spans="4:10" ht="15.75" hidden="1" customHeight="1" thickBot="1" x14ac:dyDescent="0.3"/>
    <row r="44" spans="4:10" ht="15.75" hidden="1" customHeight="1" thickBot="1" x14ac:dyDescent="0.3"/>
    <row r="45" spans="4:10" ht="15.75" hidden="1" customHeight="1" thickBot="1" x14ac:dyDescent="0.3"/>
    <row r="46" spans="4:10" ht="15.75" hidden="1" customHeight="1" thickBot="1" x14ac:dyDescent="0.3"/>
    <row r="47" spans="4:10" ht="15.75" hidden="1" customHeight="1" thickBot="1" x14ac:dyDescent="0.3"/>
    <row r="48" spans="4:10" ht="15.75" hidden="1" customHeight="1" thickBot="1" x14ac:dyDescent="0.3"/>
    <row r="49" spans="4:25" ht="15.75" hidden="1" customHeight="1" thickBot="1" x14ac:dyDescent="0.3"/>
    <row r="50" spans="4:25" ht="15.75" hidden="1" customHeight="1" thickBot="1" x14ac:dyDescent="0.3"/>
    <row r="51" spans="4:25" ht="15.75" hidden="1" customHeight="1" thickBot="1" x14ac:dyDescent="0.3"/>
    <row r="52" spans="4:25" ht="15.75" hidden="1" customHeight="1" thickBot="1" x14ac:dyDescent="0.3"/>
    <row r="53" spans="4:25" ht="19.5" thickBot="1" x14ac:dyDescent="0.35">
      <c r="D53" s="1565" t="s">
        <v>322</v>
      </c>
      <c r="E53" s="1566"/>
      <c r="F53" s="1567"/>
      <c r="N53" s="1565" t="s">
        <v>1014</v>
      </c>
      <c r="O53" s="1566"/>
      <c r="P53" s="1566"/>
      <c r="Q53" s="1566"/>
      <c r="R53" s="1566"/>
      <c r="S53" s="1567"/>
      <c r="T53" s="195"/>
      <c r="Y53" s="68" t="s">
        <v>556</v>
      </c>
    </row>
    <row r="54" spans="4:25" ht="16.5" thickBot="1" x14ac:dyDescent="0.3">
      <c r="M54" s="196"/>
      <c r="N54" s="1572">
        <f>F55</f>
        <v>0</v>
      </c>
      <c r="O54" s="1573"/>
      <c r="P54" s="1573"/>
      <c r="Q54" s="1573"/>
      <c r="R54" s="1573"/>
      <c r="S54" s="1574"/>
      <c r="T54" s="197"/>
      <c r="Y54" s="68" t="s">
        <v>474</v>
      </c>
    </row>
    <row r="55" spans="4:25" ht="33" customHeight="1" thickBot="1" x14ac:dyDescent="0.35">
      <c r="D55" s="198" t="s">
        <v>1000</v>
      </c>
      <c r="E55" s="199"/>
      <c r="F55" s="1576"/>
      <c r="G55" s="1577"/>
      <c r="H55" s="1577"/>
      <c r="I55" s="1578"/>
      <c r="N55" s="1562" t="s">
        <v>147</v>
      </c>
      <c r="O55" s="1563"/>
      <c r="P55" s="200" t="s">
        <v>455</v>
      </c>
      <c r="Q55" s="27"/>
      <c r="R55" s="200" t="s">
        <v>456</v>
      </c>
      <c r="S55" s="200" t="s">
        <v>1144</v>
      </c>
      <c r="T55" s="201"/>
      <c r="V55" s="39"/>
      <c r="Y55" s="68" t="s">
        <v>292</v>
      </c>
    </row>
    <row r="56" spans="4:25" ht="19.5" thickBot="1" x14ac:dyDescent="0.35">
      <c r="D56" s="1502" t="s">
        <v>1350</v>
      </c>
      <c r="E56" s="203"/>
      <c r="F56" s="155"/>
      <c r="G56" s="204"/>
      <c r="H56" s="39"/>
      <c r="I56" s="39"/>
      <c r="N56" s="205" t="str">
        <f>N57</f>
        <v>WB</v>
      </c>
      <c r="O56" s="41" t="s">
        <v>188</v>
      </c>
      <c r="P56" s="206">
        <v>2</v>
      </c>
      <c r="Q56" s="207" t="str">
        <f>CONCATENATE(N56,"L")</f>
        <v>WBL</v>
      </c>
      <c r="R56" s="206">
        <v>4</v>
      </c>
      <c r="S56" s="12"/>
      <c r="T56" s="208"/>
      <c r="U56" s="1571"/>
      <c r="V56" s="1571"/>
      <c r="W56" s="1571"/>
      <c r="Y56" s="1535" t="s">
        <v>145</v>
      </c>
    </row>
    <row r="57" spans="4:25" ht="19.5" thickBot="1" x14ac:dyDescent="0.35">
      <c r="D57" s="1502" t="s">
        <v>1351</v>
      </c>
      <c r="E57" s="203"/>
      <c r="F57" s="156"/>
      <c r="G57" s="210" t="s">
        <v>1035</v>
      </c>
      <c r="H57" s="39"/>
      <c r="I57" s="39"/>
      <c r="N57" s="211" t="str">
        <f>IF(F56="","WB",F56)</f>
        <v>WB</v>
      </c>
      <c r="O57" s="212" t="s">
        <v>454</v>
      </c>
      <c r="P57" s="158">
        <v>2</v>
      </c>
      <c r="Q57" s="213" t="str">
        <f>CONCATENATE(N57,"T")</f>
        <v>WBT</v>
      </c>
      <c r="R57" s="158">
        <v>6</v>
      </c>
      <c r="S57" s="37"/>
      <c r="T57" s="214"/>
      <c r="U57" s="215" t="s">
        <v>938</v>
      </c>
      <c r="V57" s="216"/>
      <c r="W57" s="217"/>
      <c r="Y57" s="24"/>
    </row>
    <row r="58" spans="4:25" ht="19.5" thickBot="1" x14ac:dyDescent="0.35">
      <c r="D58" s="209" t="s">
        <v>1001</v>
      </c>
      <c r="E58" s="203"/>
      <c r="F58" s="156"/>
      <c r="G58" s="210"/>
      <c r="H58" s="39"/>
      <c r="I58" s="39"/>
      <c r="N58" s="218" t="str">
        <f>N57</f>
        <v>WB</v>
      </c>
      <c r="O58" s="219" t="s">
        <v>187</v>
      </c>
      <c r="P58" s="220">
        <v>2</v>
      </c>
      <c r="Q58" s="221" t="str">
        <f>CONCATENATE(N58,"R")</f>
        <v>WBR</v>
      </c>
      <c r="R58" s="220">
        <v>8</v>
      </c>
      <c r="S58" s="36"/>
      <c r="T58" s="214"/>
      <c r="U58" s="222" t="s">
        <v>926</v>
      </c>
      <c r="V58" s="222"/>
      <c r="W58" s="223"/>
      <c r="Y58" s="24"/>
    </row>
    <row r="59" spans="4:25" ht="24" customHeight="1" thickBot="1" x14ac:dyDescent="0.35">
      <c r="D59" s="202" t="s">
        <v>1002</v>
      </c>
      <c r="E59" s="203"/>
      <c r="F59" s="156"/>
      <c r="G59" s="210" t="s">
        <v>2</v>
      </c>
      <c r="H59" s="39"/>
      <c r="I59" s="39"/>
      <c r="L59" s="224" t="s">
        <v>465</v>
      </c>
      <c r="N59" s="225" t="str">
        <f>N60</f>
        <v>NB</v>
      </c>
      <c r="O59" s="212" t="s">
        <v>188</v>
      </c>
      <c r="P59" s="158">
        <v>4</v>
      </c>
      <c r="Q59" s="213" t="str">
        <f t="shared" ref="Q59" si="0">CONCATENATE(N59,"L")</f>
        <v>NBL</v>
      </c>
      <c r="R59" s="158">
        <v>6</v>
      </c>
      <c r="S59" s="37"/>
      <c r="T59" s="226"/>
      <c r="U59" s="227"/>
      <c r="V59" s="227"/>
      <c r="W59" s="227"/>
      <c r="Y59" s="24"/>
    </row>
    <row r="60" spans="4:25" ht="19.5" thickBot="1" x14ac:dyDescent="0.35">
      <c r="D60" s="228" t="s">
        <v>1003</v>
      </c>
      <c r="E60" s="158"/>
      <c r="F60" s="156"/>
      <c r="G60" s="210" t="s">
        <v>3</v>
      </c>
      <c r="H60" s="39"/>
      <c r="I60" s="39"/>
      <c r="N60" s="229" t="str">
        <f>IF($N$57="NB","EB",IF(N57="SB","WB",IF(N57="EB","SB","NB")))</f>
        <v>NB</v>
      </c>
      <c r="O60" s="212" t="s">
        <v>454</v>
      </c>
      <c r="P60" s="158">
        <v>4</v>
      </c>
      <c r="Q60" s="213" t="str">
        <f t="shared" ref="Q60" si="1">CONCATENATE(N60,"T")</f>
        <v>NBT</v>
      </c>
      <c r="R60" s="158">
        <v>8</v>
      </c>
      <c r="S60" s="37"/>
      <c r="T60" s="214"/>
      <c r="U60" s="222" t="s">
        <v>926</v>
      </c>
      <c r="V60" s="222"/>
      <c r="W60" s="223"/>
      <c r="Y60" s="24"/>
    </row>
    <row r="61" spans="4:25" ht="19.5" thickBot="1" x14ac:dyDescent="0.35">
      <c r="D61" s="202" t="s">
        <v>1162</v>
      </c>
      <c r="E61" s="203"/>
      <c r="F61" s="156"/>
      <c r="G61" s="210" t="s">
        <v>1007</v>
      </c>
      <c r="H61" s="230" t="s">
        <v>1008</v>
      </c>
      <c r="I61" s="39"/>
      <c r="N61" s="225" t="str">
        <f>N60</f>
        <v>NB</v>
      </c>
      <c r="O61" s="212" t="s">
        <v>187</v>
      </c>
      <c r="P61" s="158">
        <v>4</v>
      </c>
      <c r="Q61" s="213" t="str">
        <f t="shared" ref="Q61" si="2">CONCATENATE(N61,"R")</f>
        <v>NBR</v>
      </c>
      <c r="R61" s="158">
        <v>2</v>
      </c>
      <c r="S61" s="37"/>
      <c r="T61" s="231"/>
      <c r="U61" s="39"/>
      <c r="V61" s="39"/>
      <c r="Y61" s="24"/>
    </row>
    <row r="62" spans="4:25" ht="19.5" thickBot="1" x14ac:dyDescent="0.35">
      <c r="D62" s="202" t="s">
        <v>1163</v>
      </c>
      <c r="E62" s="203"/>
      <c r="F62" s="156"/>
      <c r="G62" s="210" t="s">
        <v>3</v>
      </c>
      <c r="H62" s="232">
        <f>F61/25</f>
        <v>0</v>
      </c>
      <c r="I62" s="39"/>
      <c r="N62" s="205" t="str">
        <f>N63</f>
        <v>EB</v>
      </c>
      <c r="O62" s="41" t="s">
        <v>188</v>
      </c>
      <c r="P62" s="206">
        <v>6</v>
      </c>
      <c r="Q62" s="207" t="str">
        <f t="shared" ref="Q62" si="3">CONCATENATE(N62,"L")</f>
        <v>EBL</v>
      </c>
      <c r="R62" s="206">
        <v>8</v>
      </c>
      <c r="S62" s="12"/>
      <c r="T62" s="214"/>
      <c r="U62" s="222" t="s">
        <v>926</v>
      </c>
      <c r="V62" s="222"/>
      <c r="W62" s="223"/>
      <c r="Y62" s="24"/>
    </row>
    <row r="63" spans="4:25" ht="19.5" thickBot="1" x14ac:dyDescent="0.35">
      <c r="D63" s="209" t="s">
        <v>1004</v>
      </c>
      <c r="E63" s="203"/>
      <c r="F63" s="156"/>
      <c r="G63" s="210" t="s">
        <v>708</v>
      </c>
      <c r="H63" s="39"/>
      <c r="I63" s="39"/>
      <c r="N63" s="229" t="str">
        <f>IF($N$57="SB","NB",IF($N$57="NB","SB",IF($N$57="EB","WB","EB")))</f>
        <v>EB</v>
      </c>
      <c r="O63" s="212" t="s">
        <v>454</v>
      </c>
      <c r="P63" s="158">
        <v>6</v>
      </c>
      <c r="Q63" s="213" t="str">
        <f t="shared" ref="Q63" si="4">CONCATENATE(N63,"T")</f>
        <v>EBT</v>
      </c>
      <c r="R63" s="158">
        <v>2</v>
      </c>
      <c r="S63" s="37"/>
      <c r="T63" s="214"/>
      <c r="U63" s="233" t="s">
        <v>938</v>
      </c>
      <c r="V63" s="234"/>
      <c r="W63" s="235"/>
      <c r="Y63" s="24"/>
    </row>
    <row r="64" spans="4:25" ht="19.5" thickBot="1" x14ac:dyDescent="0.35">
      <c r="D64" s="209" t="s">
        <v>1005</v>
      </c>
      <c r="E64" s="203"/>
      <c r="F64" s="156"/>
      <c r="G64" s="210" t="s">
        <v>708</v>
      </c>
      <c r="H64" s="39"/>
      <c r="I64" s="39"/>
      <c r="N64" s="218" t="str">
        <f>N63</f>
        <v>EB</v>
      </c>
      <c r="O64" s="219" t="s">
        <v>187</v>
      </c>
      <c r="P64" s="220">
        <v>6</v>
      </c>
      <c r="Q64" s="221" t="str">
        <f t="shared" ref="Q64" si="5">CONCATENATE(N64,"R")</f>
        <v>EBR</v>
      </c>
      <c r="R64" s="220">
        <v>4</v>
      </c>
      <c r="S64" s="36"/>
      <c r="T64" s="214"/>
      <c r="U64" s="39"/>
      <c r="V64" s="39"/>
      <c r="Y64" s="24"/>
    </row>
    <row r="65" spans="3:25" ht="18.75" x14ac:dyDescent="0.3">
      <c r="D65" s="236" t="s">
        <v>980</v>
      </c>
      <c r="E65" s="203"/>
      <c r="F65" s="156"/>
      <c r="G65" s="210" t="s">
        <v>1006</v>
      </c>
      <c r="H65" s="39"/>
      <c r="I65" s="39"/>
      <c r="J65" s="39"/>
      <c r="N65" s="205" t="str">
        <f>N66</f>
        <v>SB</v>
      </c>
      <c r="O65" s="41" t="s">
        <v>188</v>
      </c>
      <c r="P65" s="206">
        <v>8</v>
      </c>
      <c r="Q65" s="207" t="str">
        <f t="shared" ref="Q65" si="6">CONCATENATE(N65,"L")</f>
        <v>SBL</v>
      </c>
      <c r="R65" s="206">
        <v>2</v>
      </c>
      <c r="S65" s="12"/>
      <c r="T65" s="226"/>
      <c r="U65" s="237" t="s">
        <v>1015</v>
      </c>
      <c r="V65" s="237"/>
      <c r="W65" s="238"/>
      <c r="Y65" s="24"/>
    </row>
    <row r="66" spans="3:25" ht="19.5" thickBot="1" x14ac:dyDescent="0.35">
      <c r="D66" s="202" t="s">
        <v>1164</v>
      </c>
      <c r="E66" s="203"/>
      <c r="F66" s="156"/>
      <c r="G66" s="239"/>
      <c r="H66" s="39"/>
      <c r="I66" s="39"/>
      <c r="J66" s="39"/>
      <c r="N66" s="229" t="str">
        <f>IF($N$57="SB","EB",IF($N$57="NB","WB",IF($N$57="EB","NB","SB")))</f>
        <v>SB</v>
      </c>
      <c r="O66" s="212" t="s">
        <v>454</v>
      </c>
      <c r="P66" s="158">
        <v>8</v>
      </c>
      <c r="Q66" s="213" t="str">
        <f t="shared" ref="Q66" si="7">CONCATENATE(N66,"T")</f>
        <v>SBT</v>
      </c>
      <c r="R66" s="158">
        <v>4</v>
      </c>
      <c r="S66" s="37"/>
      <c r="T66" s="214"/>
      <c r="U66" s="240" t="s">
        <v>1016</v>
      </c>
      <c r="V66" s="241"/>
      <c r="W66" s="242"/>
      <c r="Y66" s="24"/>
    </row>
    <row r="67" spans="3:25" ht="19.5" thickBot="1" x14ac:dyDescent="0.35">
      <c r="D67" s="209" t="s">
        <v>1009</v>
      </c>
      <c r="E67" s="203"/>
      <c r="F67" s="156"/>
      <c r="G67" s="243" t="s">
        <v>1169</v>
      </c>
      <c r="H67" s="243"/>
      <c r="I67" s="39"/>
      <c r="J67" s="39"/>
      <c r="N67" s="218" t="str">
        <f>N66</f>
        <v>SB</v>
      </c>
      <c r="O67" s="219" t="s">
        <v>187</v>
      </c>
      <c r="P67" s="220">
        <v>8</v>
      </c>
      <c r="Q67" s="221" t="str">
        <f t="shared" ref="Q67" si="8">CONCATENATE(N67,"R")</f>
        <v>SBR</v>
      </c>
      <c r="R67" s="220">
        <v>6</v>
      </c>
      <c r="S67" s="36"/>
      <c r="T67" s="244"/>
      <c r="U67" s="245" t="s">
        <v>1136</v>
      </c>
      <c r="V67" s="245"/>
      <c r="W67" s="246"/>
      <c r="Y67" s="24"/>
    </row>
    <row r="68" spans="3:25" ht="19.5" thickBot="1" x14ac:dyDescent="0.35">
      <c r="D68" s="247" t="s">
        <v>1010</v>
      </c>
      <c r="E68" s="248"/>
      <c r="F68" s="157"/>
      <c r="I68" s="39"/>
      <c r="J68" s="39"/>
      <c r="Y68" s="24"/>
    </row>
    <row r="69" spans="3:25" ht="11.25" customHeight="1" x14ac:dyDescent="0.3">
      <c r="I69" s="39"/>
      <c r="J69" s="39"/>
    </row>
    <row r="70" spans="3:25" ht="15.75" x14ac:dyDescent="0.25">
      <c r="C70" s="249" t="s">
        <v>934</v>
      </c>
      <c r="D70" s="250" t="s">
        <v>1011</v>
      </c>
      <c r="E70" s="251"/>
      <c r="F70" s="251"/>
      <c r="G70" s="251"/>
      <c r="H70" s="252"/>
      <c r="S70" s="24"/>
    </row>
    <row r="71" spans="3:25" ht="15.75" x14ac:dyDescent="0.25">
      <c r="D71" s="253" t="s">
        <v>1012</v>
      </c>
      <c r="E71" s="243"/>
      <c r="F71" s="243"/>
      <c r="G71" s="243"/>
      <c r="H71" s="254"/>
    </row>
    <row r="72" spans="3:25" ht="15.75" x14ac:dyDescent="0.25">
      <c r="D72" s="253" t="s">
        <v>1013</v>
      </c>
      <c r="E72" s="243"/>
      <c r="F72" s="243"/>
      <c r="G72" s="243"/>
      <c r="H72" s="254"/>
    </row>
    <row r="73" spans="3:25" ht="15.75" x14ac:dyDescent="0.25">
      <c r="D73" s="253" t="s">
        <v>1166</v>
      </c>
      <c r="E73" s="243"/>
      <c r="F73" s="243"/>
      <c r="G73" s="243"/>
      <c r="H73" s="254"/>
    </row>
    <row r="74" spans="3:25" ht="15.75" x14ac:dyDescent="0.25">
      <c r="D74" s="253" t="s">
        <v>1167</v>
      </c>
      <c r="E74" s="243"/>
      <c r="F74" s="243"/>
      <c r="G74" s="243"/>
      <c r="H74" s="254"/>
    </row>
    <row r="75" spans="3:25" ht="15.75" x14ac:dyDescent="0.25">
      <c r="D75" s="255" t="s">
        <v>1165</v>
      </c>
      <c r="E75" s="256"/>
      <c r="F75" s="256"/>
      <c r="G75" s="256"/>
      <c r="H75" s="257"/>
    </row>
    <row r="77" spans="3:25" ht="15.75" x14ac:dyDescent="0.25">
      <c r="C77" s="258" t="s">
        <v>931</v>
      </c>
      <c r="D77" s="259" t="s">
        <v>1168</v>
      </c>
      <c r="E77" s="260"/>
      <c r="F77" s="261"/>
      <c r="G77" s="261"/>
    </row>
    <row r="78" spans="3:25" x14ac:dyDescent="0.25">
      <c r="L78" s="1556"/>
      <c r="M78" s="1556"/>
      <c r="N78" s="18"/>
      <c r="O78" s="18"/>
      <c r="P78" s="18"/>
      <c r="Q78" s="18"/>
      <c r="R78" s="18"/>
      <c r="S78" s="18"/>
      <c r="T78" s="18"/>
      <c r="U78" s="18"/>
      <c r="V78" s="18"/>
      <c r="W78" s="18"/>
      <c r="X78" s="18"/>
      <c r="Y78" s="18"/>
    </row>
    <row r="79" spans="3:25" x14ac:dyDescent="0.25">
      <c r="L79" s="1557"/>
      <c r="M79" s="1557"/>
      <c r="N79" s="1557"/>
      <c r="O79" s="1557"/>
      <c r="P79" s="1557"/>
      <c r="Q79" s="1557"/>
      <c r="R79" s="1557"/>
      <c r="S79" s="1557"/>
      <c r="T79" s="1557"/>
      <c r="U79" s="1557"/>
      <c r="V79" s="1557"/>
      <c r="W79" s="1557"/>
      <c r="X79" s="1557"/>
      <c r="Y79" s="1557"/>
    </row>
    <row r="80" spans="3:25" x14ac:dyDescent="0.25">
      <c r="L80" s="1556"/>
      <c r="M80" s="1556"/>
      <c r="N80" s="20"/>
      <c r="O80" s="20"/>
      <c r="P80" s="20"/>
      <c r="Q80" s="20"/>
      <c r="R80" s="20"/>
      <c r="S80" s="20"/>
      <c r="T80" s="20"/>
      <c r="U80" s="20"/>
      <c r="V80" s="20"/>
      <c r="W80" s="20"/>
      <c r="X80" s="20"/>
      <c r="Y80" s="20"/>
    </row>
  </sheetData>
  <sheetProtection algorithmName="SHA-512" hashValue="Sm/v//353KudeTNLe3ZRAkC/tgBIQKTJ7tvpIkX1CBG4a5X5EtOOzc+zNsjCZiBpq1nK3jPTMIZbAwOJTJD7aQ==" saltValue="zxgzsh6z/UP/SXnGO85Fcg==" spinCount="100000" sheet="1" objects="1" scenarios="1"/>
  <mergeCells count="15">
    <mergeCell ref="C2:D2"/>
    <mergeCell ref="N53:S53"/>
    <mergeCell ref="D53:F53"/>
    <mergeCell ref="E25:J25"/>
    <mergeCell ref="U56:W56"/>
    <mergeCell ref="N54:S54"/>
    <mergeCell ref="J18:M18"/>
    <mergeCell ref="J20:L20"/>
    <mergeCell ref="F55:I55"/>
    <mergeCell ref="L78:M78"/>
    <mergeCell ref="L79:Y79"/>
    <mergeCell ref="L80:M80"/>
    <mergeCell ref="H16:P16"/>
    <mergeCell ref="E22:J22"/>
    <mergeCell ref="N55:O55"/>
  </mergeCells>
  <dataValidations count="13">
    <dataValidation type="list" allowBlank="1" showInputMessage="1" showErrorMessage="1" sqref="F56">
      <formula1>$Y$53:$Y$56</formula1>
    </dataValidation>
    <dataValidation type="whole" allowBlank="1" showInputMessage="1" showErrorMessage="1" sqref="F57">
      <formula1>15</formula1>
      <formula2>80</formula2>
    </dataValidation>
    <dataValidation type="decimal" allowBlank="1" showInputMessage="1" showErrorMessage="1" sqref="F58">
      <formula1>0.25</formula1>
      <formula2>1</formula2>
    </dataValidation>
    <dataValidation type="decimal" allowBlank="1" showInputMessage="1" showErrorMessage="1" sqref="F59">
      <formula1>0</formula1>
      <formula2>100</formula2>
    </dataValidation>
    <dataValidation type="whole" allowBlank="1" showInputMessage="1" showErrorMessage="1" sqref="F60">
      <formula1>200</formula1>
      <formula2>5280</formula2>
    </dataValidation>
    <dataValidation type="whole" allowBlank="1" showInputMessage="1" showErrorMessage="1" sqref="F61">
      <formula1>25</formula1>
      <formula2>2000</formula2>
    </dataValidation>
    <dataValidation type="whole" allowBlank="1" showInputMessage="1" showErrorMessage="1" sqref="F62">
      <formula1>0</formula1>
      <formula2>200</formula2>
    </dataValidation>
    <dataValidation type="whole" allowBlank="1" showInputMessage="1" showErrorMessage="1" sqref="F63">
      <formula1>30</formula1>
      <formula2>300</formula2>
    </dataValidation>
    <dataValidation type="custom" allowBlank="1" showInputMessage="1" showErrorMessage="1" sqref="F64">
      <formula1>IF(F64&gt;=F63,1,0)</formula1>
    </dataValidation>
    <dataValidation type="whole" allowBlank="1" showInputMessage="1" showErrorMessage="1" sqref="F65">
      <formula1>100</formula1>
      <formula2>2400</formula2>
    </dataValidation>
    <dataValidation type="whole" allowBlank="1" showInputMessage="1" showErrorMessage="1" sqref="F66">
      <formula1>0</formula1>
      <formula2>1</formula2>
    </dataValidation>
    <dataValidation type="whole" allowBlank="1" showInputMessage="1" showErrorMessage="1" sqref="F67">
      <formula1>1</formula1>
      <formula2>6</formula2>
    </dataValidation>
    <dataValidation type="decimal" allowBlank="1" showInputMessage="1" showErrorMessage="1" sqref="F68">
      <formula1>0.1</formula1>
      <formula2>10</formula2>
    </dataValidation>
  </dataValidation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50B9D"/>
  </sheetPr>
  <dimension ref="C2:Q36"/>
  <sheetViews>
    <sheetView showGridLines="0" zoomScale="120" zoomScaleNormal="120" workbookViewId="0">
      <selection activeCell="F32" sqref="F32"/>
    </sheetView>
  </sheetViews>
  <sheetFormatPr defaultColWidth="8.85546875" defaultRowHeight="15" x14ac:dyDescent="0.25"/>
  <cols>
    <col min="4" max="4" width="14.42578125" customWidth="1"/>
    <col min="5" max="5" width="26.85546875" customWidth="1"/>
    <col min="6" max="6" width="17.42578125" customWidth="1"/>
    <col min="7" max="7" width="20.28515625" customWidth="1"/>
    <col min="8" max="8" width="23.140625" customWidth="1"/>
    <col min="9" max="9" width="10" customWidth="1"/>
  </cols>
  <sheetData>
    <row r="2" spans="3:11" hidden="1" x14ac:dyDescent="0.25"/>
    <row r="3" spans="3:11" hidden="1" x14ac:dyDescent="0.25"/>
    <row r="4" spans="3:11" hidden="1" x14ac:dyDescent="0.25"/>
    <row r="5" spans="3:11" hidden="1" x14ac:dyDescent="0.25"/>
    <row r="6" spans="3:11" hidden="1" x14ac:dyDescent="0.25"/>
    <row r="7" spans="3:11" ht="23.25" x14ac:dyDescent="0.35">
      <c r="E7" s="1590" t="s">
        <v>945</v>
      </c>
      <c r="F7" s="1590"/>
      <c r="G7" s="1590"/>
      <c r="H7" s="1590"/>
    </row>
    <row r="8" spans="3:11" ht="15.75" thickBot="1" x14ac:dyDescent="0.3"/>
    <row r="9" spans="3:11" ht="16.5" thickBot="1" x14ac:dyDescent="0.3">
      <c r="D9" s="1581" t="s">
        <v>685</v>
      </c>
      <c r="E9" s="1582"/>
      <c r="F9" s="1581">
        <f>'GLOBAL INPUTS'!F55</f>
        <v>0</v>
      </c>
      <c r="G9" s="1583"/>
      <c r="H9" s="1582"/>
    </row>
    <row r="10" spans="3:11" ht="19.5" thickBot="1" x14ac:dyDescent="0.35">
      <c r="D10" s="1581" t="s">
        <v>1026</v>
      </c>
      <c r="E10" s="1582"/>
      <c r="F10" s="115">
        <f>SUM('GLOBAL INPUTS'!S56:S67)*'GLOBAL INPUTS'!F68</f>
        <v>0</v>
      </c>
      <c r="G10" s="116" t="s">
        <v>924</v>
      </c>
      <c r="H10" s="118" t="str">
        <f>IF('GLOBAL INPUTS'!F68="","",'GLOBAL INPUTS'!F68*(SUM('GLOBAL INPUTS'!S56:S58)+SUM('GLOBAL INPUTS'!S62:S64))/F10)</f>
        <v/>
      </c>
    </row>
    <row r="11" spans="3:11" ht="30" customHeight="1" x14ac:dyDescent="0.25">
      <c r="D11" s="1586" t="s">
        <v>917</v>
      </c>
      <c r="E11" s="1587"/>
      <c r="F11" s="1584" t="s">
        <v>1020</v>
      </c>
      <c r="G11" s="1584" t="s">
        <v>1019</v>
      </c>
      <c r="H11" s="1584" t="s">
        <v>1036</v>
      </c>
    </row>
    <row r="12" spans="3:11" ht="15.75" thickBot="1" x14ac:dyDescent="0.3">
      <c r="C12" s="30"/>
      <c r="D12" s="1588"/>
      <c r="E12" s="1589"/>
      <c r="F12" s="1585"/>
      <c r="G12" s="1585"/>
      <c r="H12" s="1585"/>
    </row>
    <row r="13" spans="3:11" ht="15.75" hidden="1" customHeight="1" thickBot="1" x14ac:dyDescent="0.3">
      <c r="C13" s="30"/>
      <c r="D13" s="17"/>
      <c r="F13" s="41"/>
      <c r="G13" s="18"/>
      <c r="H13" s="13"/>
    </row>
    <row r="14" spans="3:11" ht="16.5" thickBot="1" x14ac:dyDescent="0.3">
      <c r="C14" s="68"/>
      <c r="D14" s="1591" t="s">
        <v>1021</v>
      </c>
      <c r="E14" s="1592"/>
      <c r="F14" s="144" t="s">
        <v>69</v>
      </c>
      <c r="G14" s="110">
        <f>IF(SIGNAL!O67&lt;=1,0,1)*IF(F14&lt;&gt;"Y",0,1)</f>
        <v>0</v>
      </c>
      <c r="H14" s="127" t="str">
        <f>IF(F14="N","",SIGNAL!C73)</f>
        <v/>
      </c>
      <c r="I14" s="27"/>
      <c r="K14" s="117"/>
    </row>
    <row r="15" spans="3:11" ht="16.5" thickBot="1" x14ac:dyDescent="0.3">
      <c r="C15" s="68"/>
      <c r="D15" s="1593" t="s">
        <v>1017</v>
      </c>
      <c r="E15" s="1594"/>
      <c r="F15" s="144" t="s">
        <v>69</v>
      </c>
      <c r="G15" s="111" t="e">
        <f>IF(TWSC!K29&lt;=1,0,1)*IF(F15&lt;&gt;"Y",0,1)</f>
        <v>#DIV/0!</v>
      </c>
      <c r="H15" s="128" t="str">
        <f>IF(F15="N","",TWSC!G28)</f>
        <v/>
      </c>
      <c r="I15" s="67"/>
    </row>
    <row r="16" spans="3:11" ht="16.5" thickBot="1" x14ac:dyDescent="0.3">
      <c r="C16" s="68"/>
      <c r="D16" s="1593" t="s">
        <v>682</v>
      </c>
      <c r="E16" s="1594"/>
      <c r="F16" s="144" t="s">
        <v>69</v>
      </c>
      <c r="G16" s="107" t="e">
        <f>IF('SL-ROUND'!M21&lt;=1,0,1)*IF(F16&lt;&gt;"Y",0,1)</f>
        <v>#DIV/0!</v>
      </c>
      <c r="H16" s="129" t="str">
        <f>IF(F16="N","",'SL-ROUND'!E24)</f>
        <v/>
      </c>
      <c r="I16" s="24"/>
    </row>
    <row r="17" spans="3:17" ht="16.5" thickBot="1" x14ac:dyDescent="0.3">
      <c r="C17" s="68"/>
      <c r="D17" s="1593" t="s">
        <v>1018</v>
      </c>
      <c r="E17" s="1594"/>
      <c r="F17" s="144" t="s">
        <v>69</v>
      </c>
      <c r="G17" s="108" t="e">
        <f>IF('ML-ROUND'!G37&lt;=1,0,1)*IF(F17&lt;&gt;"Y",0,1)</f>
        <v>#DIV/0!</v>
      </c>
      <c r="H17" s="129" t="str">
        <f>IF(F17="N","",'ML-ROUND'!D30)</f>
        <v/>
      </c>
      <c r="I17" s="24"/>
    </row>
    <row r="18" spans="3:17" ht="16.5" thickBot="1" x14ac:dyDescent="0.3">
      <c r="C18" s="68"/>
      <c r="D18" s="1579" t="s">
        <v>1171</v>
      </c>
      <c r="E18" s="1580"/>
      <c r="F18" s="144" t="s">
        <v>69</v>
      </c>
      <c r="G18" s="112" t="e">
        <f>IF('AWSC-SINGLE LANE'!S30&lt;=1,0,1)*IF(F18&lt;&gt;"Y",0,1)</f>
        <v>#DIV/0!</v>
      </c>
      <c r="H18" s="130" t="str">
        <f>IF(F18="N","",'AWSC-SINGLE LANE'!S31)</f>
        <v/>
      </c>
      <c r="I18" s="27"/>
    </row>
    <row r="19" spans="3:17" ht="16.5" thickBot="1" x14ac:dyDescent="0.3">
      <c r="C19" s="68"/>
      <c r="D19" s="92" t="s">
        <v>678</v>
      </c>
      <c r="E19" s="93"/>
      <c r="F19" s="144" t="s">
        <v>69</v>
      </c>
      <c r="G19" s="110" t="e">
        <f>IF(MAX(RCUT!K22:V22)&lt;=1,0,1)*IF(F19&lt;&gt;"Y",0,1)</f>
        <v>#DIV/0!</v>
      </c>
      <c r="H19" s="127" t="str">
        <f>IF(F19="N","",RCUT!O18)</f>
        <v/>
      </c>
      <c r="P19" s="21"/>
      <c r="Q19" s="21"/>
    </row>
    <row r="20" spans="3:17" ht="16.5" thickBot="1" x14ac:dyDescent="0.3">
      <c r="C20" s="68"/>
      <c r="D20" s="85" t="s">
        <v>679</v>
      </c>
      <c r="E20" s="86"/>
      <c r="F20" s="144" t="s">
        <v>69</v>
      </c>
      <c r="G20" s="107" t="e">
        <f>IF(MAX(MUT!K78:Q86)&lt;=1,0,1)*IF(F20&lt;&gt;"Y",0,1)</f>
        <v>#DIV/0!</v>
      </c>
      <c r="H20" s="129" t="str">
        <f>IF(F20="N","",MUT!K21)</f>
        <v/>
      </c>
    </row>
    <row r="21" spans="3:17" ht="16.5" thickBot="1" x14ac:dyDescent="0.3">
      <c r="C21" s="68"/>
      <c r="D21" s="94" t="s">
        <v>680</v>
      </c>
      <c r="E21" s="95"/>
      <c r="F21" s="144" t="s">
        <v>69</v>
      </c>
      <c r="G21" s="112" t="e">
        <f>IF(MAX(PMUT!J82:P90)&lt;=1,0,1)*IF(F21&lt;&gt;"Y",0,1)</f>
        <v>#DIV/0!</v>
      </c>
      <c r="H21" s="130" t="str">
        <f>IF(F21="N","",PMUT!M20)</f>
        <v/>
      </c>
    </row>
    <row r="22" spans="3:17" ht="16.5" thickBot="1" x14ac:dyDescent="0.3">
      <c r="C22" s="68"/>
      <c r="D22" s="96" t="s">
        <v>939</v>
      </c>
      <c r="E22" s="97"/>
      <c r="F22" s="144" t="s">
        <v>69</v>
      </c>
      <c r="G22" s="110" t="e">
        <f>(IF(MAX(DDI!K60:K64)&lt;=1,0,1)+IF(MAX(DDI!N60:N64)&lt;=1,0,1))*IF(F22&lt;&gt;"Y",0,1)</f>
        <v>#DIV/0!</v>
      </c>
      <c r="H22" s="127" t="str">
        <f>IF(F22="N","",DDI!U22)</f>
        <v/>
      </c>
    </row>
    <row r="23" spans="3:17" ht="16.5" thickBot="1" x14ac:dyDescent="0.3">
      <c r="C23" s="68"/>
      <c r="D23" s="98" t="s">
        <v>681</v>
      </c>
      <c r="E23" s="99"/>
      <c r="F23" s="144" t="s">
        <v>69</v>
      </c>
      <c r="G23" s="112" t="e">
        <f>IF(MAX(DLT!K81:Q88)&lt;=1,0,1)*IF(F23&lt;&gt;"Y",0,1)</f>
        <v>#DIV/0!</v>
      </c>
      <c r="H23" s="130" t="str">
        <f>IF(F23="N","",DLT!U18)</f>
        <v/>
      </c>
    </row>
    <row r="24" spans="3:17" ht="16.5" thickBot="1" x14ac:dyDescent="0.3">
      <c r="C24" s="68"/>
      <c r="D24" s="100" t="s">
        <v>1170</v>
      </c>
      <c r="E24" s="141" t="str">
        <f>CONCATENATE(IF($F$33="NB","SE",IF($F$33="SB","NW",IF($F$33="EB","SW","NE"))),"   CORNER")</f>
        <v>NE   CORNER</v>
      </c>
      <c r="F24" s="144" t="s">
        <v>69</v>
      </c>
      <c r="G24" s="110" t="e">
        <f>IF(MAX('QRI-28'!K82:Q89)&lt;=1,0,1)*IF(F24&lt;&gt;"Y",0,1)</f>
        <v>#DIV/0!</v>
      </c>
      <c r="H24" s="127" t="str">
        <f>IF(F24="N","",'QRI-28'!N19)</f>
        <v/>
      </c>
    </row>
    <row r="25" spans="3:17" ht="16.5" thickBot="1" x14ac:dyDescent="0.3">
      <c r="C25" s="68"/>
      <c r="D25" s="87" t="s">
        <v>981</v>
      </c>
      <c r="E25" s="141" t="str">
        <f>CONCATENATE(IF($F$33="NB","SW",IF($F$33="SB","NE",IF($F$33="EB","NW","SE"))),"   CORNER")</f>
        <v>SE   CORNER</v>
      </c>
      <c r="F25" s="144" t="s">
        <v>69</v>
      </c>
      <c r="G25" s="107" t="e">
        <f>(IF(MAX('QRI-24'!K82:Q89)&lt;=1,0,1))*IF(F25&lt;&gt;"Y",0,1)</f>
        <v>#DIV/0!</v>
      </c>
      <c r="H25" s="129" t="str">
        <f>IF(F25="N","",'QRI-24'!N19)</f>
        <v/>
      </c>
    </row>
    <row r="26" spans="3:17" ht="16.5" thickBot="1" x14ac:dyDescent="0.3">
      <c r="C26" s="68"/>
      <c r="D26" s="87" t="s">
        <v>982</v>
      </c>
      <c r="E26" s="141" t="str">
        <f>CONCATENATE(IF($F$33="NB","NW",IF($F$33="SB","SE",IF($F$33="EB","NE","SW"))),"   CORNER")</f>
        <v>SW   CORNER</v>
      </c>
      <c r="F26" s="144" t="s">
        <v>69</v>
      </c>
      <c r="G26" s="107" t="e">
        <f>IF(MAX('QRI-64'!K82:Q89)&lt;=1,0,1)*IF(F26&lt;&gt;"Y",0,1)</f>
        <v>#DIV/0!</v>
      </c>
      <c r="H26" s="129" t="str">
        <f>IF(F26="N","",'QRI-64'!N19)</f>
        <v/>
      </c>
    </row>
    <row r="27" spans="3:17" ht="16.5" thickBot="1" x14ac:dyDescent="0.3">
      <c r="C27" s="68"/>
      <c r="D27" s="101" t="s">
        <v>983</v>
      </c>
      <c r="E27" s="141" t="str">
        <f>CONCATENATE(IF($F$33="NB","NE",IF($F$33="SB","SW",IF($F$33="EB","SE","NW"))),"   CORNER")</f>
        <v>NW   CORNER</v>
      </c>
      <c r="F27" s="144" t="s">
        <v>69</v>
      </c>
      <c r="G27" s="112" t="e">
        <f>IF(MAX('QRI-68'!K83:Q90)&lt;=1,0,1)*IF(F28&lt;&gt;"Y",0,1)</f>
        <v>#DIV/0!</v>
      </c>
      <c r="H27" s="130" t="str">
        <f>IF(F27="N","",'QRI-68'!N20)</f>
        <v/>
      </c>
    </row>
    <row r="28" spans="3:17" ht="16.5" thickBot="1" x14ac:dyDescent="0.3">
      <c r="C28" s="68"/>
      <c r="D28" s="88" t="s">
        <v>1172</v>
      </c>
      <c r="E28" s="89"/>
      <c r="F28" s="144" t="s">
        <v>69</v>
      </c>
      <c r="G28" s="111" t="e">
        <f>IF(MAX('Jugh-F'!N72:O76)&lt;=1,0,1)*IF(F28&lt;&gt;"Y",0,1)</f>
        <v>#DIV/0!</v>
      </c>
      <c r="H28" s="128" t="str">
        <f>IF(F28="N","",'Jugh-F'!N19)</f>
        <v/>
      </c>
    </row>
    <row r="29" spans="3:17" ht="16.5" thickBot="1" x14ac:dyDescent="0.3">
      <c r="C29" s="68"/>
      <c r="D29" s="88" t="s">
        <v>1173</v>
      </c>
      <c r="E29" s="89"/>
      <c r="F29" s="144" t="s">
        <v>69</v>
      </c>
      <c r="G29" s="108" t="e">
        <f>IF(MAX('Jugh-R'!N67:O71)&lt;=1,0,1)*IF(F29&lt;&gt;"Y",0,1)</f>
        <v>#DIV/0!</v>
      </c>
      <c r="H29" s="131" t="str">
        <f>IF(F29="N","",'Jugh-R'!N19)</f>
        <v/>
      </c>
    </row>
    <row r="30" spans="3:17" ht="16.5" thickBot="1" x14ac:dyDescent="0.3">
      <c r="C30" s="68"/>
      <c r="D30" s="102" t="s">
        <v>683</v>
      </c>
      <c r="E30" s="103"/>
      <c r="F30" s="144" t="s">
        <v>69</v>
      </c>
      <c r="G30" s="109" t="e">
        <f>IF(MAX('CONT-G-T'!L70:L75)&lt;=1,0,1)*IF(F30&lt;&gt;"Y",0,1)</f>
        <v>#DIV/0!</v>
      </c>
      <c r="H30" s="69" t="str">
        <f>IF(F30="N","",'CONT-G-T'!O20)</f>
        <v/>
      </c>
      <c r="I30" s="38" t="str">
        <f>IF(F30="N","",'CONT-G-T'!O21)</f>
        <v/>
      </c>
      <c r="J30" t="str">
        <f>IF(F30="N","","Average excluding unstopped vehs.")</f>
        <v/>
      </c>
    </row>
    <row r="31" spans="3:17" ht="16.5" thickBot="1" x14ac:dyDescent="0.3">
      <c r="C31" s="68"/>
      <c r="D31" s="90" t="s">
        <v>684</v>
      </c>
      <c r="E31" s="91"/>
      <c r="F31" s="144" t="s">
        <v>69</v>
      </c>
      <c r="G31" s="113" t="e">
        <f>IF(MAX(BOWTIE!M62:N65)&lt;=1,0,1)*IF(F31&lt;&gt;"Y",0,1)</f>
        <v>#DIV/0!</v>
      </c>
      <c r="H31" s="104" t="str">
        <f>IF(F31="N","",BOWTIE!J20)</f>
        <v/>
      </c>
    </row>
    <row r="32" spans="3:17" ht="16.5" thickBot="1" x14ac:dyDescent="0.3">
      <c r="C32" s="30"/>
      <c r="D32" s="40" t="s">
        <v>1174</v>
      </c>
      <c r="E32" s="43"/>
      <c r="F32" s="84">
        <f>COUNTIF(F14:F31,"Y")</f>
        <v>0</v>
      </c>
      <c r="G32" s="106"/>
      <c r="H32" s="45"/>
    </row>
    <row r="33" spans="4:8" ht="15.75" thickBot="1" x14ac:dyDescent="0.3">
      <c r="D33" s="142" t="s">
        <v>1022</v>
      </c>
      <c r="E33" s="143"/>
      <c r="F33" s="150">
        <f>'GLOBAL INPUTS'!F56</f>
        <v>0</v>
      </c>
    </row>
    <row r="34" spans="4:8" ht="18.75" x14ac:dyDescent="0.3">
      <c r="D34" s="145">
        <v>1</v>
      </c>
      <c r="E34" s="39" t="s">
        <v>1023</v>
      </c>
      <c r="F34" s="39"/>
      <c r="G34" s="39"/>
      <c r="H34" s="39"/>
    </row>
    <row r="35" spans="4:8" ht="18.75" x14ac:dyDescent="0.3">
      <c r="E35" s="39" t="s">
        <v>1024</v>
      </c>
      <c r="F35" s="39"/>
      <c r="G35" s="39"/>
      <c r="H35" s="39"/>
    </row>
    <row r="36" spans="4:8" ht="18.75" x14ac:dyDescent="0.3">
      <c r="D36" s="125" t="s">
        <v>940</v>
      </c>
      <c r="E36" s="39" t="s">
        <v>1025</v>
      </c>
    </row>
  </sheetData>
  <sheetProtection algorithmName="SHA-512" hashValue="MlxHRNMblSh2GlNhQcrPac9+NV3HVkEgdfOEhkFhmeOOus9h8hTzQdj3gv6ALKsrstVyTIosf+R/lkenpJASAw==" saltValue="sZ8a/t0DEkGPPcgyNV+cfw==" spinCount="100000" sheet="1" objects="1" scenarios="1"/>
  <mergeCells count="13">
    <mergeCell ref="E7:H7"/>
    <mergeCell ref="D14:E14"/>
    <mergeCell ref="D15:E15"/>
    <mergeCell ref="D16:E16"/>
    <mergeCell ref="D17:E17"/>
    <mergeCell ref="D18:E18"/>
    <mergeCell ref="D9:E9"/>
    <mergeCell ref="F9:H9"/>
    <mergeCell ref="H11:H12"/>
    <mergeCell ref="G11:G12"/>
    <mergeCell ref="D10:E10"/>
    <mergeCell ref="D11:E12"/>
    <mergeCell ref="F11:F12"/>
  </mergeCells>
  <conditionalFormatting sqref="D34">
    <cfRule type="cellIs" dxfId="114" priority="2" operator="greaterThan">
      <formula>0.9</formula>
    </cfRule>
  </conditionalFormatting>
  <conditionalFormatting sqref="F14:F31">
    <cfRule type="containsText" dxfId="113" priority="1" operator="containsText" text="Y">
      <formula>NOT(ISERROR(SEARCH("Y",F14)))</formula>
    </cfRule>
  </conditionalFormatting>
  <conditionalFormatting sqref="G14:G31">
    <cfRule type="cellIs" dxfId="112" priority="4" operator="greaterThan">
      <formula>0.9</formula>
    </cfRule>
  </conditionalFormatting>
  <conditionalFormatting sqref="G32">
    <cfRule type="cellIs" dxfId="111" priority="5" operator="greaterThan">
      <formula>0.5</formula>
    </cfRule>
  </conditionalFormatting>
  <conditionalFormatting sqref="H14:H31">
    <cfRule type="colorScale" priority="19">
      <colorScale>
        <cfvo type="min"/>
        <cfvo type="percentile" val="50"/>
        <cfvo type="max"/>
        <color rgb="FF63BE7B"/>
        <color rgb="FFFFEB84"/>
        <color rgb="FFF8696B"/>
      </colorScale>
    </cfRule>
  </conditionalFormatting>
  <conditionalFormatting sqref="H15">
    <cfRule type="containsText" dxfId="110" priority="18" operator="containsText" text="Above">
      <formula>NOT(ISERROR(SEARCH("Above",H15)))</formula>
    </cfRule>
  </conditionalFormatting>
  <conditionalFormatting sqref="I14">
    <cfRule type="containsText" dxfId="109" priority="14" operator="containsText" text="ABOVE">
      <formula>NOT(ISERROR(SEARCH("ABOVE",I14)))</formula>
    </cfRule>
  </conditionalFormatting>
  <conditionalFormatting sqref="I15:I17">
    <cfRule type="containsText" dxfId="108" priority="15" operator="containsText" text="Above">
      <formula>NOT(ISERROR(SEARCH("Above",I15)))</formula>
    </cfRule>
  </conditionalFormatting>
  <conditionalFormatting sqref="I18">
    <cfRule type="containsText" dxfId="107" priority="16" operator="containsText" text="ABOVE">
      <formula>NOT(ISERROR(SEARCH("ABOVE",I18)))</formula>
    </cfRule>
  </conditionalFormatting>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89"/>
  <sheetViews>
    <sheetView showGridLines="0" topLeftCell="A40" zoomScale="120" zoomScaleNormal="120" workbookViewId="0">
      <selection activeCell="O18" sqref="O18"/>
    </sheetView>
  </sheetViews>
  <sheetFormatPr defaultColWidth="8.85546875" defaultRowHeight="15" x14ac:dyDescent="0.25"/>
  <cols>
    <col min="1" max="1" width="10.7109375" customWidth="1"/>
    <col min="2" max="2" width="27.42578125" customWidth="1"/>
    <col min="3" max="13" width="10.7109375" customWidth="1"/>
    <col min="14" max="14" width="23.42578125" customWidth="1"/>
    <col min="15" max="15" width="10.140625" customWidth="1"/>
    <col min="16" max="16" width="13.140625" customWidth="1"/>
    <col min="17" max="17" width="10.85546875" customWidth="1"/>
    <col min="19" max="19" width="13.42578125" customWidth="1"/>
    <col min="21" max="21" width="11.42578125" customWidth="1"/>
    <col min="22" max="22" width="4" customWidth="1"/>
    <col min="32" max="32" width="11.28515625" customWidth="1"/>
  </cols>
  <sheetData>
    <row r="1" spans="1:19" ht="21.75" customHeight="1" thickBot="1" x14ac:dyDescent="0.35">
      <c r="A1" s="1603" t="s">
        <v>506</v>
      </c>
      <c r="B1" s="1604"/>
      <c r="C1" s="1604"/>
      <c r="D1" s="1604"/>
      <c r="E1" s="1631"/>
      <c r="F1" s="1643"/>
      <c r="G1" s="1643"/>
      <c r="H1" s="1643"/>
      <c r="I1" s="1643"/>
      <c r="J1" s="265" t="s">
        <v>570</v>
      </c>
      <c r="K1" s="1632">
        <f>'GLOBAL INPUTS'!F55</f>
        <v>0</v>
      </c>
      <c r="L1" s="1633"/>
      <c r="M1" s="1633"/>
      <c r="N1" s="1634"/>
      <c r="Q1" t="s">
        <v>518</v>
      </c>
    </row>
    <row r="2" spans="1:19" x14ac:dyDescent="0.25">
      <c r="A2" s="1556" t="s">
        <v>338</v>
      </c>
      <c r="B2" s="1595"/>
      <c r="C2" s="1635" t="s">
        <v>292</v>
      </c>
      <c r="D2" s="1636"/>
      <c r="E2" s="1637"/>
      <c r="F2" s="1638" t="s">
        <v>145</v>
      </c>
      <c r="G2" s="1639"/>
      <c r="H2" s="1640"/>
      <c r="I2" s="1638" t="s">
        <v>556</v>
      </c>
      <c r="J2" s="1639"/>
      <c r="K2" s="1637"/>
      <c r="L2" s="1635" t="s">
        <v>474</v>
      </c>
      <c r="M2" s="1636"/>
      <c r="N2" s="1637"/>
      <c r="Q2" t="s">
        <v>1370</v>
      </c>
    </row>
    <row r="3" spans="1:19" x14ac:dyDescent="0.25">
      <c r="A3" s="1556" t="s">
        <v>511</v>
      </c>
      <c r="B3" s="1595"/>
      <c r="C3" s="267" t="s">
        <v>557</v>
      </c>
      <c r="D3" s="267" t="s">
        <v>558</v>
      </c>
      <c r="E3" s="267" t="s">
        <v>559</v>
      </c>
      <c r="F3" s="267" t="s">
        <v>560</v>
      </c>
      <c r="G3" s="267" t="s">
        <v>561</v>
      </c>
      <c r="H3" s="267" t="s">
        <v>562</v>
      </c>
      <c r="I3" s="267" t="s">
        <v>563</v>
      </c>
      <c r="J3" s="267" t="s">
        <v>564</v>
      </c>
      <c r="K3" s="267" t="s">
        <v>565</v>
      </c>
      <c r="L3" s="267" t="s">
        <v>566</v>
      </c>
      <c r="M3" s="267" t="s">
        <v>567</v>
      </c>
      <c r="N3" s="267" t="s">
        <v>568</v>
      </c>
    </row>
    <row r="4" spans="1:19" x14ac:dyDescent="0.25">
      <c r="A4" s="1619" t="s">
        <v>512</v>
      </c>
      <c r="B4" s="1619"/>
      <c r="C4" s="1619"/>
      <c r="D4" s="1619"/>
      <c r="E4" s="1619"/>
      <c r="F4" s="1619"/>
      <c r="G4" s="1619"/>
      <c r="H4" s="1619"/>
      <c r="I4" s="1619"/>
      <c r="J4" s="1619"/>
      <c r="K4" s="1619"/>
      <c r="L4" s="1619"/>
      <c r="M4" s="1619"/>
      <c r="N4" s="1619"/>
      <c r="Q4" s="268" t="s">
        <v>856</v>
      </c>
    </row>
    <row r="5" spans="1:19" x14ac:dyDescent="0.25">
      <c r="A5" s="1556" t="s">
        <v>895</v>
      </c>
      <c r="B5" s="1595"/>
      <c r="C5" s="269">
        <f>VLOOKUP(C3,'GLOBAL INPUTS'!$Q$56:$S$67,3,FALSE)*'GLOBAL INPUTS'!$F$68</f>
        <v>0</v>
      </c>
      <c r="D5" s="269">
        <f>VLOOKUP(D3,'GLOBAL INPUTS'!$Q$56:$S$67,3,FALSE)*'GLOBAL INPUTS'!$F$68</f>
        <v>0</v>
      </c>
      <c r="E5" s="269">
        <f>VLOOKUP(E3,'GLOBAL INPUTS'!$Q$56:$S$67,3,FALSE)*'GLOBAL INPUTS'!$F$68</f>
        <v>0</v>
      </c>
      <c r="F5" s="269">
        <f>VLOOKUP(F3,'GLOBAL INPUTS'!$Q$56:$S$67,3,FALSE)*'GLOBAL INPUTS'!$F$68</f>
        <v>0</v>
      </c>
      <c r="G5" s="269">
        <f>VLOOKUP(G3,'GLOBAL INPUTS'!$Q$56:$S$67,3,FALSE)*'GLOBAL INPUTS'!$F$68</f>
        <v>0</v>
      </c>
      <c r="H5" s="269">
        <f>VLOOKUP(H3,'GLOBAL INPUTS'!$Q$56:$S$67,3,FALSE)*'GLOBAL INPUTS'!$F$68</f>
        <v>0</v>
      </c>
      <c r="I5" s="269">
        <f>VLOOKUP(I3,'GLOBAL INPUTS'!$Q$56:$S$67,3,FALSE)*'GLOBAL INPUTS'!$F$68</f>
        <v>0</v>
      </c>
      <c r="J5" s="269">
        <f>VLOOKUP(J3,'GLOBAL INPUTS'!$Q$56:$S$67,3,FALSE)*'GLOBAL INPUTS'!$F$68</f>
        <v>0</v>
      </c>
      <c r="K5" s="269">
        <f>VLOOKUP(K3,'GLOBAL INPUTS'!$Q$56:$S$67,3,FALSE)*'GLOBAL INPUTS'!$F$68</f>
        <v>0</v>
      </c>
      <c r="L5" s="269">
        <f>VLOOKUP(L3,'GLOBAL INPUTS'!$Q$56:$S$67,3,FALSE)*'GLOBAL INPUTS'!$F$68</f>
        <v>0</v>
      </c>
      <c r="M5" s="269">
        <f>VLOOKUP(M3,'GLOBAL INPUTS'!$Q$56:$S$67,3,FALSE)*'GLOBAL INPUTS'!$F$68</f>
        <v>0</v>
      </c>
      <c r="N5" s="269">
        <f>VLOOKUP(N3,'GLOBAL INPUTS'!$Q$56:$S$67,3,FALSE)*'GLOBAL INPUTS'!$F$68</f>
        <v>0</v>
      </c>
      <c r="Q5" s="258" t="s">
        <v>979</v>
      </c>
      <c r="R5" s="258" t="s">
        <v>915</v>
      </c>
    </row>
    <row r="6" spans="1:19" x14ac:dyDescent="0.25">
      <c r="A6" s="1556" t="s">
        <v>513</v>
      </c>
      <c r="B6" s="1595"/>
      <c r="C6" s="105"/>
      <c r="D6" s="105"/>
      <c r="E6" s="105"/>
      <c r="F6" s="105"/>
      <c r="G6" s="105"/>
      <c r="H6" s="105"/>
      <c r="I6" s="105"/>
      <c r="J6" s="105"/>
      <c r="K6" s="105"/>
      <c r="L6" s="105"/>
      <c r="M6" s="105"/>
      <c r="N6" s="146"/>
      <c r="Q6" s="270">
        <v>0</v>
      </c>
      <c r="R6">
        <v>1.1000000000000001</v>
      </c>
    </row>
    <row r="7" spans="1:19" x14ac:dyDescent="0.25">
      <c r="A7" s="21" t="s">
        <v>1002</v>
      </c>
      <c r="B7" s="21"/>
      <c r="C7" s="271">
        <f>'GLOBAL INPUTS'!$F$59/100</f>
        <v>0</v>
      </c>
      <c r="D7" s="271">
        <f>'GLOBAL INPUTS'!$F$59/100</f>
        <v>0</v>
      </c>
      <c r="E7" s="271">
        <f>'GLOBAL INPUTS'!$F$59/100</f>
        <v>0</v>
      </c>
      <c r="F7" s="271">
        <f>'GLOBAL INPUTS'!$F$59/100</f>
        <v>0</v>
      </c>
      <c r="G7" s="271">
        <f>'GLOBAL INPUTS'!$F$59/100</f>
        <v>0</v>
      </c>
      <c r="H7" s="271">
        <f>'GLOBAL INPUTS'!$F$59/100</f>
        <v>0</v>
      </c>
      <c r="I7" s="271">
        <f>'GLOBAL INPUTS'!$F$59/100</f>
        <v>0</v>
      </c>
      <c r="J7" s="271">
        <f>'GLOBAL INPUTS'!$F$59/100</f>
        <v>0</v>
      </c>
      <c r="K7" s="271">
        <f>'GLOBAL INPUTS'!$F$59/100</f>
        <v>0</v>
      </c>
      <c r="L7" s="271">
        <f>'GLOBAL INPUTS'!$F$59/100</f>
        <v>0</v>
      </c>
      <c r="M7" s="271">
        <f>'GLOBAL INPUTS'!$F$59/100</f>
        <v>0</v>
      </c>
      <c r="N7" s="271">
        <f>'GLOBAL INPUTS'!$F$59/100</f>
        <v>0</v>
      </c>
      <c r="Q7" s="270">
        <v>200</v>
      </c>
      <c r="R7">
        <v>2</v>
      </c>
    </row>
    <row r="8" spans="1:19" ht="14.25" customHeight="1" x14ac:dyDescent="0.25">
      <c r="A8" s="1556" t="s">
        <v>470</v>
      </c>
      <c r="B8" s="1595"/>
      <c r="C8" s="272">
        <f>'GLOBAL INPUTS'!F58</f>
        <v>0</v>
      </c>
      <c r="D8" s="1641"/>
      <c r="E8" s="1642"/>
      <c r="F8" s="1642"/>
      <c r="G8" s="1642"/>
      <c r="H8" s="1642"/>
      <c r="I8" s="1642"/>
      <c r="J8" s="1642"/>
      <c r="K8" s="1642"/>
      <c r="L8" s="1642"/>
      <c r="M8" s="1642"/>
      <c r="N8" s="1642"/>
      <c r="Q8" s="270">
        <v>600</v>
      </c>
      <c r="R8">
        <v>3</v>
      </c>
    </row>
    <row r="9" spans="1:19" ht="12" customHeight="1" x14ac:dyDescent="0.25">
      <c r="A9" s="1619" t="s">
        <v>514</v>
      </c>
      <c r="B9" s="1619"/>
      <c r="C9" s="1619"/>
      <c r="D9" s="1619"/>
      <c r="E9" s="1619"/>
      <c r="F9" s="1619"/>
      <c r="G9" s="1619"/>
      <c r="H9" s="1619"/>
      <c r="I9" s="1619"/>
      <c r="J9" s="1619"/>
      <c r="K9" s="1619"/>
      <c r="L9" s="1619"/>
      <c r="M9" s="1619"/>
      <c r="N9" s="1619"/>
      <c r="Q9" s="270">
        <v>800</v>
      </c>
      <c r="R9">
        <v>4</v>
      </c>
    </row>
    <row r="10" spans="1:19" x14ac:dyDescent="0.25">
      <c r="A10" s="1556" t="s">
        <v>338</v>
      </c>
      <c r="B10" s="1595"/>
      <c r="C10" s="1599" t="s">
        <v>507</v>
      </c>
      <c r="D10" s="1600"/>
      <c r="E10" s="1601"/>
      <c r="F10" s="1599" t="s">
        <v>508</v>
      </c>
      <c r="G10" s="1600"/>
      <c r="H10" s="1601"/>
      <c r="I10" s="1599" t="s">
        <v>509</v>
      </c>
      <c r="J10" s="1600"/>
      <c r="K10" s="1601"/>
      <c r="L10" s="1599" t="s">
        <v>510</v>
      </c>
      <c r="M10" s="1600"/>
      <c r="N10" s="1601"/>
      <c r="Q10" s="270">
        <v>1000</v>
      </c>
      <c r="R10">
        <v>5</v>
      </c>
    </row>
    <row r="11" spans="1:19" x14ac:dyDescent="0.25">
      <c r="A11" s="1556" t="s">
        <v>511</v>
      </c>
      <c r="B11" s="1595"/>
      <c r="C11" s="267" t="s">
        <v>9</v>
      </c>
      <c r="D11" s="267" t="s">
        <v>10</v>
      </c>
      <c r="E11" s="267" t="s">
        <v>11</v>
      </c>
      <c r="F11" s="267" t="s">
        <v>9</v>
      </c>
      <c r="G11" s="267" t="s">
        <v>10</v>
      </c>
      <c r="H11" s="267" t="s">
        <v>11</v>
      </c>
      <c r="I11" s="267" t="s">
        <v>9</v>
      </c>
      <c r="J11" s="267" t="s">
        <v>10</v>
      </c>
      <c r="K11" s="267" t="s">
        <v>11</v>
      </c>
      <c r="L11" s="267" t="s">
        <v>9</v>
      </c>
      <c r="M11" s="267" t="s">
        <v>10</v>
      </c>
      <c r="N11" s="267" t="s">
        <v>11</v>
      </c>
    </row>
    <row r="12" spans="1:19" x14ac:dyDescent="0.25">
      <c r="A12" s="1556" t="s">
        <v>1175</v>
      </c>
      <c r="B12" s="1595"/>
      <c r="C12" s="44"/>
      <c r="D12" s="44"/>
      <c r="E12" s="44"/>
      <c r="F12" s="44"/>
      <c r="G12" s="44"/>
      <c r="H12" s="44"/>
      <c r="I12" s="44"/>
      <c r="J12" s="44"/>
      <c r="K12" s="44"/>
      <c r="L12" s="44"/>
      <c r="M12" s="44"/>
      <c r="N12" s="44"/>
      <c r="Q12" s="268" t="s">
        <v>857</v>
      </c>
    </row>
    <row r="13" spans="1:19" x14ac:dyDescent="0.25">
      <c r="A13" s="1556" t="s">
        <v>515</v>
      </c>
      <c r="B13" s="1595"/>
      <c r="C13" s="105"/>
      <c r="D13" s="105"/>
      <c r="E13" s="105"/>
      <c r="F13" s="105"/>
      <c r="G13" s="105"/>
      <c r="H13" s="105"/>
      <c r="I13" s="105"/>
      <c r="J13" s="105"/>
      <c r="K13" s="105"/>
      <c r="L13" s="105"/>
      <c r="M13" s="105"/>
      <c r="N13" s="146"/>
      <c r="Q13" t="s">
        <v>902</v>
      </c>
      <c r="S13" s="258" t="s">
        <v>903</v>
      </c>
    </row>
    <row r="14" spans="1:19" x14ac:dyDescent="0.25">
      <c r="A14" s="1619" t="s">
        <v>516</v>
      </c>
      <c r="B14" s="1619"/>
      <c r="C14" s="1619"/>
      <c r="D14" s="1619"/>
      <c r="E14" s="1619"/>
      <c r="F14" s="1619"/>
      <c r="G14" s="1619"/>
      <c r="H14" s="1619"/>
      <c r="I14" s="1619"/>
      <c r="J14" s="1619"/>
      <c r="K14" s="1619"/>
      <c r="L14" s="1619"/>
      <c r="M14" s="1619"/>
      <c r="N14" s="1619"/>
      <c r="Q14" s="270" t="s">
        <v>569</v>
      </c>
      <c r="R14" s="275">
        <v>1.2</v>
      </c>
      <c r="S14" s="275">
        <v>0</v>
      </c>
    </row>
    <row r="15" spans="1:19" x14ac:dyDescent="0.25">
      <c r="A15" s="1556" t="s">
        <v>338</v>
      </c>
      <c r="B15" s="1595"/>
      <c r="C15" s="1599" t="s">
        <v>507</v>
      </c>
      <c r="D15" s="1600"/>
      <c r="E15" s="1601"/>
      <c r="F15" s="1599" t="s">
        <v>508</v>
      </c>
      <c r="G15" s="1600"/>
      <c r="H15" s="1601"/>
      <c r="I15" s="1599" t="s">
        <v>509</v>
      </c>
      <c r="J15" s="1600"/>
      <c r="K15" s="1601"/>
      <c r="L15" s="1599" t="s">
        <v>510</v>
      </c>
      <c r="M15" s="1600"/>
      <c r="N15" s="1601"/>
      <c r="Q15" s="270" t="s">
        <v>858</v>
      </c>
      <c r="R15" s="275">
        <v>1.2</v>
      </c>
      <c r="S15" s="275">
        <v>50</v>
      </c>
    </row>
    <row r="16" spans="1:19" x14ac:dyDescent="0.25">
      <c r="A16" s="1556" t="s">
        <v>1176</v>
      </c>
      <c r="B16" s="1595"/>
      <c r="C16" s="1599" t="str">
        <f>IF(C5&gt;240,"Y","N")</f>
        <v>N</v>
      </c>
      <c r="D16" s="1600"/>
      <c r="E16" s="1601"/>
      <c r="F16" s="1599" t="str">
        <f>IF(F5&gt;240,"Y","N")</f>
        <v>N</v>
      </c>
      <c r="G16" s="1600"/>
      <c r="H16" s="1601"/>
      <c r="I16" s="1599" t="str">
        <f>IF(I5&gt;240,"Y","N")</f>
        <v>N</v>
      </c>
      <c r="J16" s="1600"/>
      <c r="K16" s="1601"/>
      <c r="L16" s="1599" t="str">
        <f>IF(L5&gt;240,"Y","N")</f>
        <v>N</v>
      </c>
      <c r="M16" s="1600"/>
      <c r="N16" s="1601"/>
      <c r="Q16" s="270" t="s">
        <v>859</v>
      </c>
      <c r="R16" s="275">
        <v>1.3</v>
      </c>
      <c r="S16" s="275">
        <v>200</v>
      </c>
    </row>
    <row r="17" spans="1:19" x14ac:dyDescent="0.25">
      <c r="A17" s="1556" t="s">
        <v>1177</v>
      </c>
      <c r="B17" s="1595"/>
      <c r="C17" s="1599" t="str">
        <f>IF(G12&lt;&gt;0,IF(AND(G12=1,C5*G5&gt;50000),"Y",IF(AND(G12=2,C5*G5&gt;90000),"Y",IF(C5*G5&gt;110000,"Y","N"))),"N")</f>
        <v>N</v>
      </c>
      <c r="D17" s="1600"/>
      <c r="E17" s="1601"/>
      <c r="F17" s="1599" t="str">
        <f>IF(D12&lt;&gt;0,IF(AND(D12=1,F5*D5&gt;=50000),"Y",IF(AND(D12=2,F5*D5&gt;=90000),"Y",IF(F5*D5&gt;=110000,"Y","N"))),"N")</f>
        <v>N</v>
      </c>
      <c r="G17" s="1600"/>
      <c r="H17" s="1601"/>
      <c r="I17" s="1599" t="str">
        <f>IF(M12&lt;&gt;0,IF(AND(M12=1,I5*M5&gt;50000),"Y",IF(AND(M12=2,I5*M5&gt;90000),"Y",IF(I5*M5&gt;110000,"Y","N"))),"N")</f>
        <v>N</v>
      </c>
      <c r="J17" s="1600"/>
      <c r="K17" s="1601"/>
      <c r="L17" s="1599" t="str">
        <f>IF(J12&lt;&gt;0,IF(AND(J12=1,L5*J5&gt;=50000),"Y",IF(AND(J12=2,L5*J5&gt;=90000),"Y",IF(L5*J5&gt;=110000,"Y","N"))),"N")</f>
        <v>N</v>
      </c>
      <c r="M17" s="1600"/>
      <c r="N17" s="1601"/>
      <c r="Q17" s="270" t="s">
        <v>860</v>
      </c>
      <c r="R17" s="275">
        <v>1.5</v>
      </c>
      <c r="S17" s="275">
        <v>400</v>
      </c>
    </row>
    <row r="18" spans="1:19" x14ac:dyDescent="0.25">
      <c r="A18" s="1556" t="s">
        <v>1178</v>
      </c>
      <c r="B18" s="1595"/>
      <c r="C18" s="1599" t="str">
        <f>IF(EBleftLanes=2,"Y","N")</f>
        <v>N</v>
      </c>
      <c r="D18" s="1600"/>
      <c r="E18" s="1601"/>
      <c r="F18" s="1599" t="str">
        <f>IF(WBleftLanes=2,"Y","N")</f>
        <v>N</v>
      </c>
      <c r="G18" s="1600"/>
      <c r="H18" s="1601"/>
      <c r="I18" s="1599" t="str">
        <f>IF(NBleftLanes=2,"Y","N")</f>
        <v>N</v>
      </c>
      <c r="J18" s="1600"/>
      <c r="K18" s="1601"/>
      <c r="L18" s="1599" t="str">
        <f>IF(SBleftLanes=2,"Y","N")</f>
        <v>N</v>
      </c>
      <c r="M18" s="1600"/>
      <c r="N18" s="1601"/>
      <c r="Q18" s="270" t="s">
        <v>861</v>
      </c>
      <c r="R18" s="275">
        <v>2.1</v>
      </c>
      <c r="S18" s="275">
        <v>800</v>
      </c>
    </row>
    <row r="19" spans="1:19" x14ac:dyDescent="0.25">
      <c r="A19" s="1556" t="s">
        <v>1179</v>
      </c>
      <c r="B19" s="1595"/>
      <c r="C19" s="1599" t="str">
        <f>IF(AND(EBleftLanes&gt;=1,OR(F16="Y",F17="Y",F18="Y")),"Y","N")</f>
        <v>N</v>
      </c>
      <c r="D19" s="1600"/>
      <c r="E19" s="1601"/>
      <c r="F19" s="1599" t="str">
        <f>IF(AND(WBleftLanes&gt;=1,OR(C16="Y",C17="Y",C18="Y")),"Y","N")</f>
        <v>N</v>
      </c>
      <c r="G19" s="1600"/>
      <c r="H19" s="1601"/>
      <c r="I19" s="1599" t="str">
        <f>IF(AND(NBleftLanes&gt;=1,OR(L16="Y",L17="Y",L18="Y")),"Y","N")</f>
        <v>N</v>
      </c>
      <c r="J19" s="1600"/>
      <c r="K19" s="1601"/>
      <c r="L19" s="1599" t="str">
        <f>IF(AND(SBleftLanes&gt;=1,OR(I16="Y",I17="Y",I18="Y")),"Y","N")</f>
        <v>N</v>
      </c>
      <c r="M19" s="1600"/>
      <c r="N19" s="1601"/>
    </row>
    <row r="20" spans="1:19" ht="15" customHeight="1" x14ac:dyDescent="0.25">
      <c r="A20" s="1625" t="s">
        <v>1180</v>
      </c>
      <c r="B20" s="1626"/>
      <c r="C20" s="1627" t="str">
        <f>IF(OR(C16="Y",C17="Y",C18="Y",C19="Y",F16="Y",F17="Y",F18="Y",F19="Y"),"Protected","Permitted")</f>
        <v>Permitted</v>
      </c>
      <c r="D20" s="1628"/>
      <c r="E20" s="1629"/>
      <c r="F20" s="1599" t="str">
        <f>IF(OR(F16="Y",F17="Y",F18="Y",F19="Y",C16="Y",C17="Y",C18="Y",C19="Y"),"Protected","Permitted")</f>
        <v>Permitted</v>
      </c>
      <c r="G20" s="1600"/>
      <c r="H20" s="1601"/>
      <c r="I20" s="1627" t="str">
        <f>IF(OR(I16="Y",I17="Y",I18="Y",I19="Y",L16="Y",L17="Y",L18="Y",L19="Y"),"Protected","Permitted")</f>
        <v>Permitted</v>
      </c>
      <c r="J20" s="1628"/>
      <c r="K20" s="1629"/>
      <c r="L20" s="1599" t="str">
        <f>IF(OR(L16="Y",L17="Y",L18="Y",L19="Y",I16="Y",I17="Y",I18="Y",I19="Y"),"Protected","Permitted")</f>
        <v>Permitted</v>
      </c>
      <c r="M20" s="1600"/>
      <c r="N20" s="1601"/>
      <c r="Q20" s="268" t="s">
        <v>862</v>
      </c>
    </row>
    <row r="21" spans="1:19" ht="15" customHeight="1" x14ac:dyDescent="0.25">
      <c r="A21" s="1625" t="s">
        <v>1181</v>
      </c>
      <c r="B21" s="1626"/>
      <c r="C21" s="1630"/>
      <c r="D21" s="1630"/>
      <c r="E21" s="1630"/>
      <c r="F21" s="1630"/>
      <c r="G21" s="1630"/>
      <c r="H21" s="1630"/>
      <c r="I21" s="1630"/>
      <c r="J21" s="1630"/>
      <c r="K21" s="1630"/>
      <c r="L21" s="1630"/>
      <c r="M21" s="1630"/>
      <c r="N21" s="1630"/>
      <c r="R21" t="s">
        <v>615</v>
      </c>
      <c r="S21" t="s">
        <v>231</v>
      </c>
    </row>
    <row r="22" spans="1:19" ht="15" customHeight="1" x14ac:dyDescent="0.25">
      <c r="A22" s="1620" t="s">
        <v>1182</v>
      </c>
      <c r="B22" s="1621"/>
      <c r="C22" s="1622" t="str">
        <f>IF(C21&lt;&gt;"",C21,C20)</f>
        <v>Permitted</v>
      </c>
      <c r="D22" s="1623"/>
      <c r="E22" s="1624"/>
      <c r="F22" s="1622" t="str">
        <f>IF(F21&lt;&gt;"",F21,F20)</f>
        <v>Permitted</v>
      </c>
      <c r="G22" s="1623"/>
      <c r="H22" s="1624"/>
      <c r="I22" s="1622" t="str">
        <f>IF(I21&lt;&gt;"",I21,I20)</f>
        <v>Permitted</v>
      </c>
      <c r="J22" s="1623"/>
      <c r="K22" s="1624"/>
      <c r="L22" s="1622" t="str">
        <f>IF(L21&lt;&gt;"",L21,L20)</f>
        <v>Permitted</v>
      </c>
      <c r="M22" s="1623"/>
      <c r="N22" s="1624"/>
      <c r="Q22" s="270" t="s">
        <v>877</v>
      </c>
      <c r="R22">
        <v>0</v>
      </c>
      <c r="S22" s="275">
        <v>1</v>
      </c>
    </row>
    <row r="23" spans="1:19" x14ac:dyDescent="0.25">
      <c r="A23" s="1619" t="s">
        <v>517</v>
      </c>
      <c r="B23" s="1619"/>
      <c r="C23" s="1619"/>
      <c r="D23" s="1619"/>
      <c r="E23" s="1619"/>
      <c r="F23" s="1619"/>
      <c r="G23" s="1619"/>
      <c r="H23" s="1619"/>
      <c r="I23" s="1619"/>
      <c r="J23" s="1619"/>
      <c r="K23" s="1619"/>
      <c r="L23" s="1619"/>
      <c r="M23" s="1619"/>
      <c r="N23" s="1619"/>
      <c r="Q23" s="270" t="s">
        <v>863</v>
      </c>
      <c r="R23">
        <v>1</v>
      </c>
      <c r="S23" s="275">
        <v>1.2</v>
      </c>
    </row>
    <row r="24" spans="1:19" x14ac:dyDescent="0.25">
      <c r="A24" s="1614" t="s">
        <v>1184</v>
      </c>
      <c r="B24" s="1615"/>
      <c r="C24" s="1616" t="s">
        <v>518</v>
      </c>
      <c r="D24" s="1617"/>
      <c r="E24" s="1618"/>
      <c r="F24" s="1616" t="s">
        <v>518</v>
      </c>
      <c r="G24" s="1617"/>
      <c r="H24" s="1618"/>
      <c r="I24" s="1616" t="s">
        <v>518</v>
      </c>
      <c r="J24" s="1617"/>
      <c r="K24" s="1618"/>
      <c r="L24" s="1616" t="s">
        <v>518</v>
      </c>
      <c r="M24" s="1617"/>
      <c r="N24" s="1618"/>
      <c r="Q24" s="270" t="s">
        <v>863</v>
      </c>
      <c r="R24">
        <v>2</v>
      </c>
      <c r="S24" s="275">
        <v>1.1000000000000001</v>
      </c>
    </row>
    <row r="25" spans="1:19" x14ac:dyDescent="0.25">
      <c r="A25" s="1619" t="s">
        <v>519</v>
      </c>
      <c r="B25" s="1619"/>
      <c r="C25" s="1619"/>
      <c r="D25" s="1619"/>
      <c r="E25" s="1619"/>
      <c r="F25" s="1619"/>
      <c r="G25" s="1619"/>
      <c r="H25" s="1619"/>
      <c r="I25" s="1619"/>
      <c r="J25" s="1619"/>
      <c r="K25" s="1619"/>
      <c r="L25" s="1619"/>
      <c r="M25" s="1619"/>
      <c r="N25" s="1619"/>
      <c r="Q25" s="270" t="s">
        <v>863</v>
      </c>
      <c r="R25">
        <v>3</v>
      </c>
      <c r="S25" s="275">
        <v>1.05</v>
      </c>
    </row>
    <row r="26" spans="1:19" x14ac:dyDescent="0.25">
      <c r="A26" s="1556" t="s">
        <v>338</v>
      </c>
      <c r="B26" s="1595"/>
      <c r="C26" s="1599" t="s">
        <v>507</v>
      </c>
      <c r="D26" s="1600"/>
      <c r="E26" s="1601"/>
      <c r="F26" s="1599" t="s">
        <v>508</v>
      </c>
      <c r="G26" s="1600"/>
      <c r="H26" s="1601"/>
      <c r="I26" s="1599" t="s">
        <v>509</v>
      </c>
      <c r="J26" s="1600"/>
      <c r="K26" s="1601"/>
      <c r="L26" s="1599" t="s">
        <v>510</v>
      </c>
      <c r="M26" s="1600"/>
      <c r="N26" s="1601"/>
    </row>
    <row r="27" spans="1:19" x14ac:dyDescent="0.25">
      <c r="A27" s="1556" t="s">
        <v>511</v>
      </c>
      <c r="B27" s="1595"/>
      <c r="C27" s="267" t="s">
        <v>9</v>
      </c>
      <c r="D27" s="267" t="s">
        <v>10</v>
      </c>
      <c r="E27" s="267" t="s">
        <v>11</v>
      </c>
      <c r="F27" s="267" t="s">
        <v>9</v>
      </c>
      <c r="G27" s="267" t="s">
        <v>10</v>
      </c>
      <c r="H27" s="267" t="s">
        <v>11</v>
      </c>
      <c r="I27" s="267" t="s">
        <v>9</v>
      </c>
      <c r="J27" s="267" t="s">
        <v>10</v>
      </c>
      <c r="K27" s="267" t="s">
        <v>11</v>
      </c>
      <c r="L27" s="267" t="s">
        <v>9</v>
      </c>
      <c r="M27" s="267" t="s">
        <v>10</v>
      </c>
      <c r="N27" s="267" t="s">
        <v>11</v>
      </c>
      <c r="Q27" s="268" t="s">
        <v>864</v>
      </c>
    </row>
    <row r="28" spans="1:19" x14ac:dyDescent="0.25">
      <c r="A28" s="21" t="s">
        <v>1183</v>
      </c>
      <c r="B28" s="21"/>
      <c r="C28" s="277">
        <f t="shared" ref="C28:N28" si="0">IF(C5&lt;&gt;0,C5,0)</f>
        <v>0</v>
      </c>
      <c r="D28" s="277">
        <f t="shared" si="0"/>
        <v>0</v>
      </c>
      <c r="E28" s="277">
        <f t="shared" si="0"/>
        <v>0</v>
      </c>
      <c r="F28" s="277">
        <f t="shared" si="0"/>
        <v>0</v>
      </c>
      <c r="G28" s="277">
        <f t="shared" si="0"/>
        <v>0</v>
      </c>
      <c r="H28" s="277">
        <f t="shared" si="0"/>
        <v>0</v>
      </c>
      <c r="I28" s="277">
        <f t="shared" si="0"/>
        <v>0</v>
      </c>
      <c r="J28" s="277">
        <f t="shared" si="0"/>
        <v>0</v>
      </c>
      <c r="K28" s="277">
        <f t="shared" si="0"/>
        <v>0</v>
      </c>
      <c r="L28" s="277">
        <f t="shared" si="0"/>
        <v>0</v>
      </c>
      <c r="M28" s="277">
        <f t="shared" si="0"/>
        <v>0</v>
      </c>
      <c r="N28" s="277">
        <f t="shared" si="0"/>
        <v>0</v>
      </c>
      <c r="R28" t="s">
        <v>874</v>
      </c>
    </row>
    <row r="29" spans="1:19" ht="18" x14ac:dyDescent="0.35">
      <c r="A29" t="s">
        <v>520</v>
      </c>
      <c r="B29" s="21"/>
      <c r="C29" s="278">
        <f>1+C7</f>
        <v>1</v>
      </c>
      <c r="D29" s="278">
        <f t="shared" ref="D29:N29" si="1">1+D7</f>
        <v>1</v>
      </c>
      <c r="E29" s="278">
        <f t="shared" si="1"/>
        <v>1</v>
      </c>
      <c r="F29" s="278">
        <f t="shared" si="1"/>
        <v>1</v>
      </c>
      <c r="G29" s="278">
        <f t="shared" si="1"/>
        <v>1</v>
      </c>
      <c r="H29" s="278">
        <f t="shared" si="1"/>
        <v>1</v>
      </c>
      <c r="I29" s="278">
        <f t="shared" si="1"/>
        <v>1</v>
      </c>
      <c r="J29" s="278">
        <f t="shared" si="1"/>
        <v>1</v>
      </c>
      <c r="K29" s="278">
        <f t="shared" si="1"/>
        <v>1</v>
      </c>
      <c r="L29" s="278">
        <f t="shared" si="1"/>
        <v>1</v>
      </c>
      <c r="M29" s="278">
        <f t="shared" si="1"/>
        <v>1</v>
      </c>
      <c r="N29" s="278">
        <f t="shared" si="1"/>
        <v>1</v>
      </c>
      <c r="Q29" s="15" t="s">
        <v>865</v>
      </c>
      <c r="R29">
        <v>1</v>
      </c>
      <c r="S29" s="275">
        <v>1</v>
      </c>
    </row>
    <row r="30" spans="1:19" ht="18" x14ac:dyDescent="0.35">
      <c r="A30" t="s">
        <v>521</v>
      </c>
      <c r="B30" s="21"/>
      <c r="C30" s="278" t="e">
        <f>ROUND(1/$C$8,2)</f>
        <v>#DIV/0!</v>
      </c>
      <c r="D30" s="278" t="e">
        <f t="shared" ref="D30:N30" si="2">ROUND(1/$C$8,2)</f>
        <v>#DIV/0!</v>
      </c>
      <c r="E30" s="278" t="e">
        <f t="shared" si="2"/>
        <v>#DIV/0!</v>
      </c>
      <c r="F30" s="278" t="e">
        <f t="shared" si="2"/>
        <v>#DIV/0!</v>
      </c>
      <c r="G30" s="278" t="e">
        <f t="shared" si="2"/>
        <v>#DIV/0!</v>
      </c>
      <c r="H30" s="278" t="e">
        <f t="shared" si="2"/>
        <v>#DIV/0!</v>
      </c>
      <c r="I30" s="278" t="e">
        <f t="shared" si="2"/>
        <v>#DIV/0!</v>
      </c>
      <c r="J30" s="278" t="e">
        <f t="shared" si="2"/>
        <v>#DIV/0!</v>
      </c>
      <c r="K30" s="278" t="e">
        <f t="shared" si="2"/>
        <v>#DIV/0!</v>
      </c>
      <c r="L30" s="278" t="e">
        <f t="shared" si="2"/>
        <v>#DIV/0!</v>
      </c>
      <c r="M30" s="278" t="e">
        <f t="shared" si="2"/>
        <v>#DIV/0!</v>
      </c>
      <c r="N30" s="278" t="e">
        <f t="shared" si="2"/>
        <v>#DIV/0!</v>
      </c>
      <c r="Q30" s="15"/>
      <c r="R30">
        <v>2</v>
      </c>
      <c r="S30" s="275">
        <f>1/0.952</f>
        <v>1.0504201680672269</v>
      </c>
    </row>
    <row r="31" spans="1:19" ht="18" x14ac:dyDescent="0.35">
      <c r="A31" t="s">
        <v>522</v>
      </c>
      <c r="C31" s="278">
        <f>IF(C22="Protected",1.05,VLOOKUP(G28+H28,Q6:R10,2))</f>
        <v>1.1000000000000001</v>
      </c>
      <c r="D31" s="278">
        <v>1</v>
      </c>
      <c r="E31" s="278">
        <v>1</v>
      </c>
      <c r="F31" s="278">
        <f>IF(F22="Protected",1.05,VLOOKUP(D28+E28,Q6:R10,2))</f>
        <v>1.1000000000000001</v>
      </c>
      <c r="G31" s="278">
        <v>1</v>
      </c>
      <c r="H31" s="278">
        <v>1</v>
      </c>
      <c r="I31" s="278">
        <f>IF(I22="Protected",1.05,VLOOKUP(M28+N28,Q6:R10,2))</f>
        <v>1.1000000000000001</v>
      </c>
      <c r="J31" s="278">
        <v>1</v>
      </c>
      <c r="K31" s="278">
        <v>1</v>
      </c>
      <c r="L31" s="278">
        <f>IF(L22="Protected",1.05,VLOOKUP(J28+K28,Q6:R10,2))</f>
        <v>1.1000000000000001</v>
      </c>
      <c r="M31" s="278">
        <v>1</v>
      </c>
      <c r="N31" s="278">
        <v>1</v>
      </c>
      <c r="Q31" s="15"/>
      <c r="R31">
        <v>3</v>
      </c>
      <c r="S31" s="275">
        <f>1/0.908</f>
        <v>1.1013215859030836</v>
      </c>
    </row>
    <row r="32" spans="1:19" ht="18" x14ac:dyDescent="0.35">
      <c r="A32" t="s">
        <v>523</v>
      </c>
      <c r="C32" s="278">
        <v>1</v>
      </c>
      <c r="D32" s="278">
        <v>1</v>
      </c>
      <c r="E32" s="278" t="e">
        <f>IF(C24="Protected",1.05,VLOOKUP(C6,$Q$14:$R$18,2,FALSE))</f>
        <v>#N/A</v>
      </c>
      <c r="F32" s="278">
        <v>1</v>
      </c>
      <c r="G32" s="278">
        <v>1</v>
      </c>
      <c r="H32" s="278" t="e">
        <f>IF(F24="Protected",1.05,VLOOKUP(F6,$Q$14:$R$18,2,FALSE))</f>
        <v>#N/A</v>
      </c>
      <c r="I32" s="278">
        <v>1</v>
      </c>
      <c r="J32" s="278">
        <v>1</v>
      </c>
      <c r="K32" s="278" t="e">
        <f>IF(I24="Protected",1.05,VLOOKUP(I6,$Q$14:$R$18,2,FALSE))</f>
        <v>#N/A</v>
      </c>
      <c r="L32" s="278">
        <v>1</v>
      </c>
      <c r="M32" s="278">
        <v>1</v>
      </c>
      <c r="N32" s="278" t="e">
        <f>IF(L24="Protected",1.05,VLOOKUP(L6,$Q$14:$R$18,2,FALSE))</f>
        <v>#N/A</v>
      </c>
      <c r="Q32" s="15" t="s">
        <v>866</v>
      </c>
      <c r="R32">
        <v>1</v>
      </c>
      <c r="S32" s="275">
        <v>1</v>
      </c>
    </row>
    <row r="33" spans="1:21" ht="18" x14ac:dyDescent="0.35">
      <c r="A33" t="s">
        <v>524</v>
      </c>
      <c r="C33" s="278">
        <f>IF(C13="No",1,IF(AND(C12=0,E12=0),VLOOKUP(D12,$R$22:$S$25,2),1))</f>
        <v>1</v>
      </c>
      <c r="D33" s="278">
        <f>IF(C13="No",1,IF(E12&gt;0,1,VLOOKUP(D12,$R$22:$S$25,2)))</f>
        <v>1</v>
      </c>
      <c r="E33" s="278">
        <f>IF(C13="No",1,IF(E12=0,VLOOKUP(D12,$R$22:$S$25,2),VLOOKUP(E12,$R$22:$S$25,2)))</f>
        <v>1</v>
      </c>
      <c r="F33" s="278">
        <f>IF(F13="No",1,IF(AND(F12=0,H12=0),VLOOKUP(G12,$R$22:$S$25,2),1))</f>
        <v>1</v>
      </c>
      <c r="G33" s="278">
        <f>IF(F13="No",1,IF(H12&gt;0,1,VLOOKUP(G12,$R$22:$S$25,2)))</f>
        <v>1</v>
      </c>
      <c r="H33" s="278">
        <f>IF(F13="No",1,IF(H12=0,VLOOKUP(G12,$R$22:$S$25,2),VLOOKUP(H12,$R$22:$S$25,2)))</f>
        <v>1</v>
      </c>
      <c r="I33" s="278">
        <f>IF(I13="No",1,IF(AND(I12=0,K12=0),VLOOKUP(J12,$R$22:$S$25,2),1))</f>
        <v>1</v>
      </c>
      <c r="J33" s="278">
        <f>IF(I13="No",1,IF(K12&gt;0,1,VLOOKUP(J12,$R$22:$S$25,2)))</f>
        <v>1</v>
      </c>
      <c r="K33" s="278">
        <f>IF(I13="No",1,IF(K12=0,VLOOKUP(J12,$R$22:$S$25,2),VLOOKUP(K12,$R$22:$S$25,2)))</f>
        <v>1</v>
      </c>
      <c r="L33" s="278">
        <f>IF(L13="No",1,IF(AND(L12=0,N12=0),VLOOKUP(M12,$R$22:$S$25,2),1))</f>
        <v>1</v>
      </c>
      <c r="M33" s="278">
        <f>IF(L13="No",1,IF(N12&gt;0,1,VLOOKUP(M12,$R$22:$S$25,2)))</f>
        <v>1</v>
      </c>
      <c r="N33" s="278">
        <f>IF(L13="No",1,IF(N12=0,VLOOKUP(M12,$R$22:$S$25,2),VLOOKUP(N12,$R$22:$S$25,2)))</f>
        <v>1</v>
      </c>
      <c r="Q33" s="15"/>
      <c r="R33">
        <v>2</v>
      </c>
      <c r="S33" s="275">
        <f>1/0.971</f>
        <v>1.0298661174047374</v>
      </c>
    </row>
    <row r="34" spans="1:21" ht="18" x14ac:dyDescent="0.35">
      <c r="A34" s="279" t="s">
        <v>525</v>
      </c>
      <c r="C34" s="278">
        <f>IF(C12=1,1,IF(C12&gt;1,1.03,IF(D12=2,1.05,IF(D12&gt;2,1.1,1))))</f>
        <v>1</v>
      </c>
      <c r="D34" s="278">
        <f>IF(D12=2,1.05,IF(D12&gt;2,1.1,1))</f>
        <v>1</v>
      </c>
      <c r="E34" s="278">
        <f>IF(E12=1,1,IF(E12&gt;1,1.13,IF(D12=2,1.05,IF(D12&gt;2,1.1,1))))</f>
        <v>1</v>
      </c>
      <c r="F34" s="278">
        <f>IF(F12=1,1,IF(F12&gt;1,1.03,IF(G12=2,1.05,IF(G12&gt;2,1.1,1))))</f>
        <v>1</v>
      </c>
      <c r="G34" s="278">
        <f>IF(G12=2,1.05,IF(G12&gt;2,1.1,1))</f>
        <v>1</v>
      </c>
      <c r="H34" s="278">
        <f>IF(H12=1,1,IF(H12&gt;1,1.13,IF(G12=2,1.05,IF(G12&gt;2,1.1,1))))</f>
        <v>1</v>
      </c>
      <c r="I34" s="278">
        <f>IF(I12=1,1,IF(I12&gt;1,1.03,IF(J12=2,1.05,IF(J12&gt;2,1.1,1))))</f>
        <v>1</v>
      </c>
      <c r="J34" s="278">
        <f>IF(J12=2,1.05,IF(J12&gt;2,1.1,1))</f>
        <v>1</v>
      </c>
      <c r="K34" s="278">
        <f>IF(K12=1,1,IF(K12&gt;1,1.13,IF(J12=2,1.05,IF(J12&gt;2,1.1,1))))</f>
        <v>1</v>
      </c>
      <c r="L34" s="278">
        <f>IF(L12=1,1,IF(L12&gt;1,1.03,IF(M12=2,1.05,IF(M12&gt;2,1.1,1))))</f>
        <v>1</v>
      </c>
      <c r="M34" s="278">
        <f>IF(M12=2,1.05,IF(M12&gt;2,1.1,1))</f>
        <v>1</v>
      </c>
      <c r="N34" s="278">
        <f>IF(N12=1,1,IF(N12&gt;1,1.13,IF(M12=2,1.05,IF(M12&gt;2,1.1,1))))</f>
        <v>1</v>
      </c>
      <c r="Q34" s="15" t="s">
        <v>867</v>
      </c>
      <c r="R34">
        <v>1</v>
      </c>
      <c r="S34" s="275">
        <v>1</v>
      </c>
    </row>
    <row r="35" spans="1:21" ht="18" x14ac:dyDescent="0.35">
      <c r="A35" s="280" t="s">
        <v>526</v>
      </c>
      <c r="B35" s="281"/>
      <c r="C35" s="148">
        <v>1</v>
      </c>
      <c r="D35" s="148">
        <v>1</v>
      </c>
      <c r="E35" s="148">
        <v>1</v>
      </c>
      <c r="F35" s="148">
        <v>1</v>
      </c>
      <c r="G35" s="148">
        <v>1</v>
      </c>
      <c r="H35" s="148">
        <v>1</v>
      </c>
      <c r="I35" s="148">
        <v>1</v>
      </c>
      <c r="J35" s="148">
        <v>1</v>
      </c>
      <c r="K35" s="148">
        <v>1</v>
      </c>
      <c r="L35" s="148">
        <v>1</v>
      </c>
      <c r="M35" s="148">
        <v>1</v>
      </c>
      <c r="N35" s="148">
        <v>1</v>
      </c>
      <c r="R35">
        <v>2</v>
      </c>
      <c r="S35" s="275">
        <f>1/0.885</f>
        <v>1.1299435028248588</v>
      </c>
    </row>
    <row r="36" spans="1:21" x14ac:dyDescent="0.25">
      <c r="A36" t="s">
        <v>527</v>
      </c>
      <c r="C36" s="20" t="e">
        <f>C28*C29*C30*C31*C32*C33*C34*C35</f>
        <v>#DIV/0!</v>
      </c>
      <c r="D36" s="20" t="e">
        <f>ROUND(D28*D29*D30*D31*D32*D33*D34*D35,0)+0.00001</f>
        <v>#DIV/0!</v>
      </c>
      <c r="E36" s="20" t="e">
        <f>ROUND(E28*E29*E30*E31*E32*E33*E34*E35,0)+0.00002</f>
        <v>#DIV/0!</v>
      </c>
      <c r="F36" s="20" t="e">
        <f>ROUND(F28*F29*F30*F31*F32*F33*F34*F35,0)+0.00003</f>
        <v>#DIV/0!</v>
      </c>
      <c r="G36" s="20" t="e">
        <f>ROUND(G28*G29*G30*G31*G32*G33*G34*G35,0)+0.0004</f>
        <v>#DIV/0!</v>
      </c>
      <c r="H36" s="20" t="e">
        <f>ROUND(H28*H29*H30*H31*H32*H33*H34*H35,0)+0.0005</f>
        <v>#DIV/0!</v>
      </c>
      <c r="I36" s="20" t="e">
        <f>ROUND(I28*I29*I30*I31*I32*I33*I34*I35,0)</f>
        <v>#DIV/0!</v>
      </c>
      <c r="J36" s="20" t="e">
        <f>ROUND(J28*J29*J30*J31*J32*J33*J34*J35,0)+0.00001</f>
        <v>#DIV/0!</v>
      </c>
      <c r="K36" s="20" t="e">
        <f>ROUND(K28*K29*K30*K31*K32*K33*K34*K35,0)+0.00002</f>
        <v>#DIV/0!</v>
      </c>
      <c r="L36" s="20" t="e">
        <f>ROUND(L28*L29*L30*L31*L32*L33*L34*L35,0)+0.00003</f>
        <v>#DIV/0!</v>
      </c>
      <c r="M36" s="20" t="e">
        <f>ROUND(M28*M29*M30*M31*M32*M33*M34*M35,0)+0.00004</f>
        <v>#DIV/0!</v>
      </c>
      <c r="N36" s="20" t="e">
        <f>ROUND(N28*N29*N30*N31*N32*N33*N34*N35,0)+0.00005</f>
        <v>#DIV/0!</v>
      </c>
    </row>
    <row r="37" spans="1:21" ht="15.75" thickBot="1" x14ac:dyDescent="0.3">
      <c r="A37" s="1556" t="s">
        <v>528</v>
      </c>
      <c r="B37" s="1556"/>
      <c r="C37" s="20">
        <f>IF(EBleftLanes&gt;0,C36/C12,0)</f>
        <v>0</v>
      </c>
      <c r="D37" s="75">
        <f>IF(D12&lt;&gt;0,IF(AND(C12=0,E12=0),SUM(C36:E36)/D12,IF(AND(C12&lt;&gt;0,E12=0),SUM(D36:E36)/D12,IF(AND(C12=0,E12&lt;&gt;0),SUM(C36:D36)/D12,D36/D12))),0)</f>
        <v>0</v>
      </c>
      <c r="E37" s="20">
        <f>IF(E12&gt;0,E36/E12,0)</f>
        <v>0</v>
      </c>
      <c r="F37" s="20">
        <f>IF(F12&gt;0,F36/F12,0)</f>
        <v>0</v>
      </c>
      <c r="G37" s="75" t="b">
        <f>IF(G12&lt;&gt;0,IF(AND(F12=0,H12=0),SUM(F36:H36)/G12,IF(AND(F12&lt;&gt;0,H12=0),SUM(G36:H36)/G12,IF(AND(F12=0,H12&lt;&gt;0),SUM(F36:G36)/G12,G36/G12))))</f>
        <v>0</v>
      </c>
      <c r="H37" s="20">
        <f>IF(H12&gt;0,H36/H12,0)</f>
        <v>0</v>
      </c>
      <c r="I37" s="20">
        <f>IF(I12&gt;0,I36/I12,0)</f>
        <v>0</v>
      </c>
      <c r="J37" s="75" t="b">
        <f>IF(J12&lt;&gt;0,IF(AND(I12=0,K12=0),SUM(I36:K36)/J12,IF(AND(I12&lt;&gt;0,K12=0),SUM(J36:K36)/J12,IF(AND(I12=0,K12&lt;&gt;0),SUM(I36:J36)/J12,J36/J12))))</f>
        <v>0</v>
      </c>
      <c r="K37" s="20">
        <f>IF(K12&gt;0,K36/K12,0)</f>
        <v>0</v>
      </c>
      <c r="L37" s="20">
        <f>IF(L12&gt;0,L36/L12,0)</f>
        <v>0</v>
      </c>
      <c r="M37" s="75" t="b">
        <f>IF(M12&lt;&gt;0,IF(AND(L12=0,N12=0),SUM(L36:N36)/M12,IF(AND(L12&lt;&gt;0,N12=0),SUM(M36:N36)/M12,IF(AND(L12=0,N12&lt;&gt;0),SUM(L36:M36)/M12,M36/M12))))</f>
        <v>0</v>
      </c>
      <c r="N37" s="20">
        <f>IF(N12&gt;0,N36/N12,0)</f>
        <v>0</v>
      </c>
      <c r="P37" s="31"/>
    </row>
    <row r="38" spans="1:21" ht="15.75" thickBot="1" x14ac:dyDescent="0.3">
      <c r="A38" s="40" t="s">
        <v>1185</v>
      </c>
      <c r="B38" s="43"/>
      <c r="C38" s="282">
        <f>IF($R$39=1,MAX(C37:E37),IF(AND(C22="Permitted",F22="Permitted"),IF(C37=MAX($C$37:$H$37),C37,""),IF(C37+MAX(G37,H37)&gt;F37+MAX(D37,E37),C37,"")))</f>
        <v>0</v>
      </c>
      <c r="D38" s="283">
        <f>IF($R$39&gt;=1,0,IF(C22="Permitted",IF(D37=MAX($C$37:$H$37),D37,""),IF(C37+MAX(G37,H37)&gt;F37+MAX(D37,E37),"",IF(D37&gt;E37,D37,""))))</f>
        <v>0</v>
      </c>
      <c r="E38" s="282">
        <f>IF($R$39&gt;=1,0,IF(C22="Permitted",IF(E37=MAX($C$37:$H$37),E37,""),IF(C37+MAX(G37,H37)&gt;F37+MAX(D37,E37),"",IF(D37&gt;E37,0,E37))))</f>
        <v>0</v>
      </c>
      <c r="F38" s="282">
        <f>IF($R$39&gt;=1,MAX(F37:H37),IF(AND(C22="Permitted",F22="Permitted"),IF(F37=MAX($C$37:$H$37),F37,""),IF(C37+MAX(G37,H37)&gt;F37+MAX(D37,E37),"",F37)))</f>
        <v>0</v>
      </c>
      <c r="G38" s="282" t="str">
        <f>IF($R$39&gt;=1,0,IF(F22="Permitted",IF(G37=MAX($C$37:$H$37),G37,""),IF(C37+MAX(G37,H37)&gt;F37+MAX(D37,E37),IF(G37&gt;H37,G37,""),"")))</f>
        <v/>
      </c>
      <c r="H38" s="282">
        <f>IF($R$39&gt;=1,0,IF(F22="Permitted",IF(H37=MAX($C$37:$H$37),H37,""),IF(C37+MAX(G37,H37)&gt;F37+MAX(D37,E37),IF(G37&gt;H37,"",H37),"")))</f>
        <v>0</v>
      </c>
      <c r="I38" s="282">
        <f>IF($R$40&gt;=1,MAX(I37:K37),IF(AND(I22="Permitted",L22="Permitted"),IF(I37=MAX($I$37:$N$37),I37,""),IF(I37+MAX(M37,N37)&gt;L37+MAX(J37,K37),I37,"")))</f>
        <v>0</v>
      </c>
      <c r="J38" s="282" t="str">
        <f>IF($R$40&gt;=1,0,IF(I22="Permitted",IF(J37=MAX($I$37:$N$37),J37,""),IF(I37+MAX(M37,N37)&gt;L37+MAX(J37,K37),"",IF(J37&gt;K37,J37,""))))</f>
        <v/>
      </c>
      <c r="K38" s="282">
        <f>IF($R$40&gt;=1,0,IF(I22="Permitted",IF(K37=MAX($I$37:$N$37),K37,""),IF(I37+MAX(M37,N37)&gt;L37+MAX(J37,K37),"",IF(J37&gt;K37,"",K37))))</f>
        <v>0</v>
      </c>
      <c r="L38" s="282">
        <f>IF($R$40&gt;=1,MAX(L37:N37),IF(AND(I22="Permitted",L22="Permitted"),IF(L37=MAX($I$37:$N$37),L37,""),IF(I37+MAX(M37,N37)&gt;L37+MAX(J37,K37),"",L37)))</f>
        <v>0</v>
      </c>
      <c r="M38" s="282" t="str">
        <f>IF($R$40&gt;=1,0,IF(L22="Permitted",IF(M37=MAX($I$37:$N$37),M37,""),IF(I37+MAX(M37,N37)&gt;L37+MAX(J37,K37),IF(M37&gt;N37,M37,""),"")))</f>
        <v/>
      </c>
      <c r="N38" s="284">
        <f>IF($R$40&gt;=1,0,IF(L22="Permitted",IF(N37=MAX($I$37:$N$37),N37,""),IF(I37+MAX(M37,N37)&gt;L37+MAX(J37,K37),IF(M37&gt;N37,"",N37),"")))</f>
        <v>0</v>
      </c>
      <c r="Q38" s="268" t="s">
        <v>973</v>
      </c>
      <c r="R38" s="15"/>
      <c r="S38" s="15"/>
    </row>
    <row r="39" spans="1:21" x14ac:dyDescent="0.25">
      <c r="A39" s="1609" t="s">
        <v>529</v>
      </c>
      <c r="B39" s="1609"/>
      <c r="C39" s="1609"/>
      <c r="D39" s="1609"/>
      <c r="E39" s="1609"/>
      <c r="F39" s="1609"/>
      <c r="G39" s="1609"/>
      <c r="H39" s="1609"/>
      <c r="I39" s="1609"/>
      <c r="J39" s="1609"/>
      <c r="K39" s="1609"/>
      <c r="L39" s="1609"/>
      <c r="M39" s="1609"/>
      <c r="N39" s="1609"/>
      <c r="Q39" s="15" t="s">
        <v>868</v>
      </c>
      <c r="R39" s="15">
        <f>IF(C22="Permitted",0,IF(EBleftLanes=0,1,0))+IF(F22="Permitted",0,IF(WBleftLanes=0,1,0))</f>
        <v>0</v>
      </c>
    </row>
    <row r="40" spans="1:21" x14ac:dyDescent="0.25">
      <c r="A40" s="1556" t="s">
        <v>530</v>
      </c>
      <c r="B40" s="1556"/>
      <c r="C40" s="285">
        <f>SUM(C38:N38)</f>
        <v>0</v>
      </c>
      <c r="D40" s="286"/>
      <c r="E40" s="286"/>
      <c r="F40" s="286"/>
      <c r="G40" s="286"/>
      <c r="H40" s="286"/>
      <c r="I40" s="1610"/>
      <c r="J40" s="1610"/>
      <c r="K40" s="1610"/>
      <c r="L40" s="1610"/>
      <c r="M40" s="1610"/>
      <c r="N40" s="1610"/>
      <c r="Q40" s="15" t="s">
        <v>869</v>
      </c>
      <c r="R40" s="15">
        <f>IF(I22="Permitted",0,IF(NBleftLanes=0,1,0))+IF(L22="Permitted",0,IF(SBleftLanes=0,1,0))</f>
        <v>0</v>
      </c>
      <c r="S40" s="15"/>
    </row>
    <row r="41" spans="1:21" x14ac:dyDescent="0.25">
      <c r="A41" s="21" t="s">
        <v>985</v>
      </c>
      <c r="B41" s="21"/>
      <c r="C41" s="285">
        <f>1650</f>
        <v>1650</v>
      </c>
      <c r="D41" s="286"/>
      <c r="E41" s="286"/>
      <c r="F41" s="286"/>
      <c r="G41" s="286"/>
      <c r="H41" s="286"/>
      <c r="I41" s="286"/>
      <c r="J41" s="286"/>
      <c r="K41" s="286"/>
      <c r="L41" s="286"/>
      <c r="M41" s="286"/>
      <c r="N41" s="286"/>
    </row>
    <row r="42" spans="1:21" x14ac:dyDescent="0.25">
      <c r="A42" s="276" t="s">
        <v>531</v>
      </c>
      <c r="B42" s="287"/>
      <c r="C42" s="288">
        <f>ROUND(C40/C41,2)</f>
        <v>0</v>
      </c>
      <c r="D42" s="289" t="str">
        <f>IF(C42&lt;=0.85,"Under Capacity",IF(AND(C42&gt;0.85,C42&lt;0.98),"Near Capacity","Over Capacity"))</f>
        <v>Under Capacity</v>
      </c>
      <c r="E42" s="286"/>
      <c r="F42" s="286"/>
      <c r="G42" s="286"/>
      <c r="H42" s="286"/>
      <c r="I42" s="286"/>
      <c r="J42" s="286"/>
      <c r="K42" s="286"/>
      <c r="L42" s="286"/>
      <c r="M42" s="286"/>
      <c r="N42" s="286"/>
    </row>
    <row r="43" spans="1:21" ht="15.75" thickBot="1" x14ac:dyDescent="0.3">
      <c r="A43" s="1611"/>
      <c r="B43" s="1611"/>
      <c r="C43" s="1612"/>
      <c r="D43" s="1612"/>
      <c r="E43" s="1612"/>
      <c r="F43" s="1612"/>
      <c r="G43" s="1612"/>
      <c r="H43" s="1612"/>
      <c r="I43" s="1613"/>
      <c r="J43" s="1613"/>
      <c r="K43" s="1613"/>
      <c r="L43" s="1613"/>
      <c r="M43" s="1613"/>
      <c r="N43" s="1613"/>
    </row>
    <row r="44" spans="1:21" ht="19.5" thickBot="1" x14ac:dyDescent="0.35">
      <c r="A44" s="1603" t="s">
        <v>1130</v>
      </c>
      <c r="B44" s="1604"/>
      <c r="C44" s="1604"/>
      <c r="D44" s="1604"/>
      <c r="E44" s="1604"/>
      <c r="F44" s="1566" t="s">
        <v>1371</v>
      </c>
      <c r="G44" s="1566"/>
      <c r="H44" s="1566"/>
      <c r="I44" s="1566"/>
      <c r="J44" s="263"/>
      <c r="K44" s="1605"/>
      <c r="L44" s="1605"/>
      <c r="M44" s="1605"/>
      <c r="N44" s="1606"/>
    </row>
    <row r="45" spans="1:21" ht="21.75" thickBot="1" x14ac:dyDescent="0.4">
      <c r="A45" s="290"/>
      <c r="B45" s="290"/>
      <c r="C45" s="291" t="s">
        <v>532</v>
      </c>
      <c r="D45" s="291" t="s">
        <v>533</v>
      </c>
      <c r="E45" s="291" t="s">
        <v>534</v>
      </c>
      <c r="F45" s="292"/>
      <c r="G45" s="292"/>
      <c r="H45" s="292"/>
      <c r="I45" s="292"/>
      <c r="J45" s="292"/>
      <c r="K45" s="292"/>
      <c r="L45" s="292"/>
      <c r="M45" s="292"/>
      <c r="N45" s="292"/>
    </row>
    <row r="46" spans="1:21" ht="15" customHeight="1" thickBot="1" x14ac:dyDescent="0.3">
      <c r="A46" s="1556" t="s">
        <v>535</v>
      </c>
      <c r="B46" s="1556"/>
      <c r="C46" s="291">
        <f>30*COUNTIF(C38:N38,"&gt;0")</f>
        <v>0</v>
      </c>
      <c r="D46" s="146"/>
      <c r="E46" s="291">
        <f>ROUND(IF(D46&lt;&gt;"",D46,C46)/5,0)*5</f>
        <v>0</v>
      </c>
      <c r="F46" s="292"/>
      <c r="G46" s="293" t="s">
        <v>970</v>
      </c>
      <c r="H46" s="293"/>
      <c r="I46" s="294">
        <f>IF(COUNT(C38:H38)=1,MAX(C38:H38),MAX(C38:E38)+MAX(F38:H38))</f>
        <v>0</v>
      </c>
      <c r="J46" s="295" t="s">
        <v>971</v>
      </c>
      <c r="K46" s="295"/>
      <c r="L46" s="295">
        <f>IF(COUNT(I38:N38)=1,MAX(I38:N38),MAX(I38:K38)+MAX(L38:N38))</f>
        <v>0</v>
      </c>
      <c r="M46" s="295" t="s">
        <v>972</v>
      </c>
      <c r="N46" s="296">
        <f>L46+I46</f>
        <v>0</v>
      </c>
      <c r="O46" s="297" t="s">
        <v>1030</v>
      </c>
      <c r="P46" s="297"/>
      <c r="Q46" s="297"/>
      <c r="R46" s="297"/>
      <c r="S46" s="298"/>
      <c r="T46" s="298"/>
      <c r="U46" s="299"/>
    </row>
    <row r="47" spans="1:21" ht="15" customHeight="1" x14ac:dyDescent="0.25">
      <c r="A47" s="1556" t="s">
        <v>536</v>
      </c>
      <c r="B47" s="1556"/>
      <c r="C47" s="291">
        <v>5</v>
      </c>
      <c r="D47" s="146"/>
      <c r="E47" s="291">
        <f>IF(D47&lt;&gt;"",D47,C47)</f>
        <v>5</v>
      </c>
      <c r="G47" s="292"/>
      <c r="H47" s="292"/>
      <c r="I47" s="292"/>
      <c r="J47" s="292"/>
      <c r="K47" s="292"/>
      <c r="L47" s="292"/>
      <c r="M47" s="292"/>
      <c r="N47" s="292"/>
      <c r="O47" s="300"/>
      <c r="P47" s="42"/>
      <c r="Q47" s="42"/>
      <c r="R47" s="42"/>
      <c r="S47" s="42"/>
      <c r="T47" s="42"/>
      <c r="U47" s="301"/>
    </row>
    <row r="48" spans="1:21" ht="15" customHeight="1" x14ac:dyDescent="0.25">
      <c r="A48" s="21" t="s">
        <v>1037</v>
      </c>
      <c r="B48" s="21"/>
      <c r="C48" s="291">
        <f>'GLOBAL INPUTS'!F65</f>
        <v>0</v>
      </c>
      <c r="D48" s="146"/>
      <c r="E48" s="291">
        <f>IF(D48&lt;&gt;"",D48,C48)</f>
        <v>0</v>
      </c>
      <c r="F48" s="292"/>
      <c r="G48" s="292"/>
      <c r="H48" s="292"/>
      <c r="I48" s="292"/>
      <c r="J48" s="292"/>
      <c r="K48" s="292"/>
      <c r="L48" s="292"/>
      <c r="M48" s="292"/>
      <c r="N48" s="292"/>
      <c r="O48" s="300" t="s">
        <v>974</v>
      </c>
      <c r="P48" s="42"/>
      <c r="Q48" s="42"/>
      <c r="R48" s="42"/>
      <c r="S48" s="42"/>
      <c r="T48" s="42"/>
      <c r="U48" s="301"/>
    </row>
    <row r="49" spans="1:21" ht="15" customHeight="1" x14ac:dyDescent="0.25">
      <c r="A49" s="1556" t="s">
        <v>537</v>
      </c>
      <c r="B49" s="1556"/>
      <c r="C49" s="291">
        <f>COUNTIF(C38:N38,"&gt;0")</f>
        <v>0</v>
      </c>
      <c r="D49" s="292"/>
      <c r="E49" s="291">
        <f>COUNTIF(C38:N38,"&gt;0")</f>
        <v>0</v>
      </c>
      <c r="F49" s="292"/>
      <c r="G49" s="292"/>
      <c r="H49" s="292"/>
      <c r="I49" s="292"/>
      <c r="J49" s="292"/>
      <c r="K49" s="292"/>
      <c r="L49" s="292"/>
      <c r="M49" s="292"/>
      <c r="N49" s="292"/>
      <c r="O49" s="300" t="s">
        <v>1027</v>
      </c>
      <c r="P49" s="42"/>
      <c r="Q49" s="42"/>
      <c r="R49" s="42"/>
      <c r="S49" s="42"/>
      <c r="T49" s="42"/>
      <c r="U49" s="301"/>
    </row>
    <row r="50" spans="1:21" ht="15" customHeight="1" x14ac:dyDescent="0.25">
      <c r="A50" s="1556" t="s">
        <v>538</v>
      </c>
      <c r="B50" s="1556"/>
      <c r="C50" s="292"/>
      <c r="D50" s="292"/>
      <c r="E50" s="291">
        <f>E46-(E47*E49)</f>
        <v>0</v>
      </c>
      <c r="F50" s="292"/>
      <c r="G50" s="292"/>
      <c r="H50" s="292"/>
      <c r="I50" s="292"/>
      <c r="J50" s="292"/>
      <c r="K50" s="292"/>
      <c r="L50" s="292"/>
      <c r="M50" s="292"/>
      <c r="N50" s="292"/>
      <c r="O50" s="300" t="s">
        <v>1028</v>
      </c>
      <c r="P50" s="42"/>
      <c r="Q50" s="42"/>
      <c r="R50" s="42"/>
      <c r="S50" s="42"/>
      <c r="T50" s="42"/>
      <c r="U50" s="301"/>
    </row>
    <row r="51" spans="1:21" ht="15" customHeight="1" x14ac:dyDescent="0.25">
      <c r="A51" s="21"/>
      <c r="B51" s="21"/>
      <c r="C51" s="292"/>
      <c r="D51" s="292"/>
      <c r="E51" s="291"/>
      <c r="F51" s="292"/>
      <c r="G51" s="292"/>
      <c r="H51" s="292"/>
      <c r="I51" s="292"/>
      <c r="J51" s="292"/>
      <c r="K51" s="292"/>
      <c r="L51" s="292"/>
      <c r="M51" s="292"/>
      <c r="N51" s="292"/>
      <c r="O51" s="302" t="s">
        <v>1029</v>
      </c>
      <c r="P51" s="303"/>
      <c r="Q51" s="303"/>
      <c r="R51" s="303"/>
      <c r="S51" s="303"/>
      <c r="T51" s="303"/>
      <c r="U51" s="304"/>
    </row>
    <row r="52" spans="1:21" ht="15" customHeight="1" x14ac:dyDescent="0.25">
      <c r="A52" s="1556"/>
      <c r="B52" s="1556"/>
      <c r="C52" s="305" t="s">
        <v>870</v>
      </c>
      <c r="D52" s="305" t="s">
        <v>871</v>
      </c>
      <c r="E52" s="305" t="s">
        <v>872</v>
      </c>
      <c r="F52" s="305" t="s">
        <v>873</v>
      </c>
      <c r="G52" s="305"/>
      <c r="H52" s="292"/>
      <c r="I52" s="292"/>
      <c r="J52" s="292"/>
      <c r="K52" s="292"/>
      <c r="L52" s="292"/>
      <c r="M52" s="292"/>
      <c r="N52" s="292"/>
    </row>
    <row r="53" spans="1:21" ht="15" customHeight="1" x14ac:dyDescent="0.25">
      <c r="A53" s="1556" t="s">
        <v>539</v>
      </c>
      <c r="B53" s="1556"/>
      <c r="C53" s="306" t="e">
        <f>(ROUND(MAX(C38,F38),0)/$C$40)*$E$50</f>
        <v>#DIV/0!</v>
      </c>
      <c r="D53" s="306" t="e">
        <f>IF(COUNT(C38:H38)=1,(ROUND(MAX(C38:H38),0)/$C$40)*$E$50,(ROUND(MAX(D38,E38,G38,H38),0)/$C$40)*$E$50)</f>
        <v>#DIV/0!</v>
      </c>
      <c r="E53" s="306" t="e">
        <f>(ROUND(MAX(I38,L38),0)/$C$40)*$E$50</f>
        <v>#DIV/0!</v>
      </c>
      <c r="F53" s="306" t="e">
        <f>IF(COUNT(I38:N38)=1,(ROUND(MAX(I38:N38),0)/$C$40)*$E$50,(ROUND(MAX(J38,K38,M38,N38),0)/$C$40)*$E$50)</f>
        <v>#DIV/0!</v>
      </c>
      <c r="G53" s="292"/>
      <c r="H53" s="292"/>
      <c r="I53" s="292"/>
      <c r="J53" s="292"/>
      <c r="K53" s="292"/>
      <c r="L53" s="292"/>
      <c r="M53" s="292"/>
      <c r="N53" s="292"/>
    </row>
    <row r="54" spans="1:21" ht="15" customHeight="1" x14ac:dyDescent="0.25">
      <c r="A54" s="1556" t="s">
        <v>1131</v>
      </c>
      <c r="B54" s="1595"/>
      <c r="C54" s="149"/>
      <c r="D54" s="149"/>
      <c r="E54" s="149"/>
      <c r="F54" s="149"/>
      <c r="G54" s="307" t="str">
        <f>IF(COUNT(C54:F54)=0,"(Optional)",IF(SUM(C54:F54)=$E$50,"OK","ERROR"))</f>
        <v>(Optional)</v>
      </c>
      <c r="I54" s="292"/>
      <c r="J54" s="292"/>
      <c r="K54" s="292"/>
      <c r="L54" s="292"/>
      <c r="M54" s="292"/>
      <c r="N54" s="292"/>
    </row>
    <row r="55" spans="1:21" ht="15" customHeight="1" x14ac:dyDescent="0.25">
      <c r="A55" s="1556" t="s">
        <v>540</v>
      </c>
      <c r="B55" s="1556"/>
      <c r="C55" s="306" t="e">
        <f>IF(C54="",C53,C54)</f>
        <v>#DIV/0!</v>
      </c>
      <c r="D55" s="306" t="e">
        <f t="shared" ref="D55:F55" si="3">IF(D54="",D53,D54)</f>
        <v>#DIV/0!</v>
      </c>
      <c r="E55" s="306" t="e">
        <f t="shared" si="3"/>
        <v>#DIV/0!</v>
      </c>
      <c r="F55" s="306" t="e">
        <f t="shared" si="3"/>
        <v>#DIV/0!</v>
      </c>
      <c r="G55" s="292"/>
      <c r="H55" s="292"/>
      <c r="J55" s="292"/>
      <c r="K55" s="292"/>
      <c r="L55" s="292"/>
      <c r="M55" s="292"/>
      <c r="N55" s="292"/>
    </row>
    <row r="56" spans="1:21" ht="15" customHeight="1" x14ac:dyDescent="0.25">
      <c r="A56" s="21" t="s">
        <v>541</v>
      </c>
      <c r="B56" s="21"/>
      <c r="C56" s="291">
        <f>ROUND(MAX(C38,F38),0)</f>
        <v>0</v>
      </c>
      <c r="D56" s="291">
        <f>ROUND(IF(COUNT(C38:H38)=1,MAX(C38:H38),MAX(D38,E38,G38,H38)),0)</f>
        <v>0</v>
      </c>
      <c r="E56" s="291">
        <f>ROUND((MAX(I38,L38)),0)</f>
        <v>0</v>
      </c>
      <c r="F56" s="291">
        <f>ROUND(IF(COUNT(I38:N38)=1,MAX(I38:N38),MAX(J38,K38,M38,N38)),0)</f>
        <v>0</v>
      </c>
      <c r="G56" s="292"/>
      <c r="H56" s="292"/>
      <c r="J56" s="292"/>
      <c r="K56" s="292"/>
      <c r="L56" s="292"/>
      <c r="M56" s="292"/>
      <c r="N56" s="292"/>
    </row>
    <row r="57" spans="1:21" x14ac:dyDescent="0.25">
      <c r="A57" t="s">
        <v>542</v>
      </c>
      <c r="C57" s="18" t="e">
        <f>ROUND($E$48*(C55/$E$46),0)</f>
        <v>#DIV/0!</v>
      </c>
      <c r="D57" s="18" t="e">
        <f>ROUND($E$48*(D55/$E$46),0)</f>
        <v>#DIV/0!</v>
      </c>
      <c r="E57" s="18" t="e">
        <f t="shared" ref="E57:F57" si="4">ROUND($E$48*(E55/$E$46),0)</f>
        <v>#DIV/0!</v>
      </c>
      <c r="F57" s="18" t="e">
        <f t="shared" si="4"/>
        <v>#DIV/0!</v>
      </c>
      <c r="G57" s="18"/>
    </row>
    <row r="58" spans="1:21" x14ac:dyDescent="0.25">
      <c r="A58" t="s">
        <v>543</v>
      </c>
      <c r="C58" s="308" t="e">
        <f>IF(C57=0,"",C56/C57)</f>
        <v>#DIV/0!</v>
      </c>
      <c r="D58" s="309" t="e">
        <f>IF(D57=0,"",D56/D57)</f>
        <v>#DIV/0!</v>
      </c>
      <c r="E58" s="309" t="e">
        <f>IF(E57=0,"",E56/E57)</f>
        <v>#DIV/0!</v>
      </c>
      <c r="F58" s="309" t="e">
        <f>IF(F57=0,"",F56/F57)</f>
        <v>#DIV/0!</v>
      </c>
      <c r="G58" s="33"/>
    </row>
    <row r="60" spans="1:21" x14ac:dyDescent="0.25">
      <c r="A60" s="1607" t="s">
        <v>338</v>
      </c>
      <c r="B60" s="1608"/>
      <c r="C60" s="1599" t="s">
        <v>507</v>
      </c>
      <c r="D60" s="1600"/>
      <c r="E60" s="1601"/>
      <c r="F60" s="1599" t="s">
        <v>508</v>
      </c>
      <c r="G60" s="1600"/>
      <c r="H60" s="1601"/>
      <c r="I60" s="1599" t="s">
        <v>509</v>
      </c>
      <c r="J60" s="1600"/>
      <c r="K60" s="1601"/>
      <c r="L60" s="1599" t="s">
        <v>510</v>
      </c>
      <c r="M60" s="1600"/>
      <c r="N60" s="1601"/>
    </row>
    <row r="61" spans="1:21" x14ac:dyDescent="0.25">
      <c r="A61" s="1602" t="s">
        <v>511</v>
      </c>
      <c r="B61" s="1595"/>
      <c r="C61" s="267" t="s">
        <v>9</v>
      </c>
      <c r="D61" s="267" t="s">
        <v>10</v>
      </c>
      <c r="E61" s="267" t="s">
        <v>11</v>
      </c>
      <c r="F61" s="267" t="s">
        <v>9</v>
      </c>
      <c r="G61" s="267" t="s">
        <v>10</v>
      </c>
      <c r="H61" s="267" t="s">
        <v>11</v>
      </c>
      <c r="I61" s="267" t="s">
        <v>9</v>
      </c>
      <c r="J61" s="267" t="s">
        <v>10</v>
      </c>
      <c r="K61" s="267" t="s">
        <v>11</v>
      </c>
      <c r="L61" s="267" t="s">
        <v>9</v>
      </c>
      <c r="M61" s="267" t="s">
        <v>10</v>
      </c>
      <c r="N61" s="267" t="s">
        <v>11</v>
      </c>
    </row>
    <row r="62" spans="1:21" ht="15.75" customHeight="1" x14ac:dyDescent="0.25">
      <c r="A62" s="310" t="s">
        <v>528</v>
      </c>
      <c r="B62" s="21"/>
      <c r="C62" s="20">
        <f t="shared" ref="C62:N62" si="5">ROUND(C37,0)</f>
        <v>0</v>
      </c>
      <c r="D62" s="20">
        <f t="shared" si="5"/>
        <v>0</v>
      </c>
      <c r="E62" s="20">
        <f t="shared" si="5"/>
        <v>0</v>
      </c>
      <c r="F62" s="20">
        <f t="shared" si="5"/>
        <v>0</v>
      </c>
      <c r="G62" s="20">
        <f t="shared" si="5"/>
        <v>0</v>
      </c>
      <c r="H62" s="20">
        <f t="shared" si="5"/>
        <v>0</v>
      </c>
      <c r="I62" s="20">
        <f t="shared" si="5"/>
        <v>0</v>
      </c>
      <c r="J62" s="20">
        <f t="shared" si="5"/>
        <v>0</v>
      </c>
      <c r="K62" s="20">
        <f t="shared" si="5"/>
        <v>0</v>
      </c>
      <c r="L62" s="20">
        <f t="shared" si="5"/>
        <v>0</v>
      </c>
      <c r="M62" s="20">
        <f t="shared" si="5"/>
        <v>0</v>
      </c>
      <c r="N62" s="311">
        <f t="shared" si="5"/>
        <v>0</v>
      </c>
    </row>
    <row r="63" spans="1:21" hidden="1" x14ac:dyDescent="0.25">
      <c r="A63" s="312" t="s">
        <v>989</v>
      </c>
      <c r="C63" s="313" t="e">
        <f>IF('GLOBAL INPUTS'!$F$56="NB",1,IF('GLOBAL INPUTS'!$F$56="SB",1,VLOOKUP('GLOBAL INPUTS'!$F$67,SIGNAL!$P$66:$Q$71,2,FALSE)))</f>
        <v>#N/A</v>
      </c>
      <c r="D63" s="313" t="e">
        <f>IF('GLOBAL INPUTS'!$F$56="NB",1,IF('GLOBAL INPUTS'!$F$56="SB",1,VLOOKUP('GLOBAL INPUTS'!$F$67,SIGNAL!$P$66:$Q$71,2,FALSE)))</f>
        <v>#N/A</v>
      </c>
      <c r="E63" s="313" t="e">
        <f>IF('GLOBAL INPUTS'!$F$56="NB",1,IF('GLOBAL INPUTS'!$F$56="SB",1,VLOOKUP('GLOBAL INPUTS'!$F$67,SIGNAL!$P$66:$Q$71,2,FALSE)))</f>
        <v>#N/A</v>
      </c>
      <c r="F63" s="313" t="e">
        <f>IF('GLOBAL INPUTS'!$F$56="NB",1,IF('GLOBAL INPUTS'!$F$56="SB",1,VLOOKUP('GLOBAL INPUTS'!$F$67,SIGNAL!$P$66:$Q$71,2,FALSE)))</f>
        <v>#N/A</v>
      </c>
      <c r="G63" s="313" t="e">
        <f>IF('GLOBAL INPUTS'!$F$56="NB",1,IF('GLOBAL INPUTS'!$F$56="SB",1,VLOOKUP('GLOBAL INPUTS'!$F$67,SIGNAL!$P$66:$Q$71,2,FALSE)))</f>
        <v>#N/A</v>
      </c>
      <c r="H63" s="313" t="e">
        <f>IF('GLOBAL INPUTS'!$F$56="NB",1,IF('GLOBAL INPUTS'!$F$56="SB",1,VLOOKUP('GLOBAL INPUTS'!$F$67,SIGNAL!$P$66:$Q$71,2,FALSE)))</f>
        <v>#N/A</v>
      </c>
      <c r="I63" s="313" t="e">
        <f>IF('GLOBAL INPUTS'!$F$56="EB",1,IF('GLOBAL INPUTS'!$F$56="WB",1,VLOOKUP('GLOBAL INPUTS'!$F$67,SIGNAL!$P$66:$Q$71,2,FALSE)))</f>
        <v>#N/A</v>
      </c>
      <c r="J63" s="313" t="e">
        <f>IF('GLOBAL INPUTS'!$F$56="EB",1,IF('GLOBAL INPUTS'!$F$56="WB",1,VLOOKUP('GLOBAL INPUTS'!$F$67,SIGNAL!$P$66:$Q$71,2,FALSE)))</f>
        <v>#N/A</v>
      </c>
      <c r="K63" s="313" t="e">
        <f>IF('GLOBAL INPUTS'!$F$56="EB",1,IF('GLOBAL INPUTS'!$F$56="WB",1,VLOOKUP('GLOBAL INPUTS'!$F$67,SIGNAL!$P$66:$Q$71,2,FALSE)))</f>
        <v>#N/A</v>
      </c>
      <c r="L63" s="313" t="e">
        <f>IF('GLOBAL INPUTS'!$F$56="EB",1,IF('GLOBAL INPUTS'!$F$56="WB",1,VLOOKUP('GLOBAL INPUTS'!$F$67,SIGNAL!$P$66:$Q$71,2,FALSE)))</f>
        <v>#N/A</v>
      </c>
      <c r="M63" s="313" t="e">
        <f>IF('GLOBAL INPUTS'!$F$56="EB",1,IF('GLOBAL INPUTS'!$F$56="WB",1,VLOOKUP('GLOBAL INPUTS'!$F$67,SIGNAL!$P$66:$Q$71,2,FALSE)))</f>
        <v>#N/A</v>
      </c>
      <c r="N63" s="313" t="e">
        <f>IF('GLOBAL INPUTS'!$F$56="EB",1,IF('GLOBAL INPUTS'!$F$56="WB",1,VLOOKUP('GLOBAL INPUTS'!$F$67,SIGNAL!$P$66:$Q$71,2,FALSE)))</f>
        <v>#N/A</v>
      </c>
    </row>
    <row r="64" spans="1:21" ht="15.75" thickBot="1" x14ac:dyDescent="0.3">
      <c r="A64" s="312" t="s">
        <v>544</v>
      </c>
      <c r="C64" s="308" t="str">
        <f>IF(C12=0,"",MAX(0,(1-C63*C55/$E$46)/(1-C55/$E$46)))</f>
        <v/>
      </c>
      <c r="D64" s="308" t="str">
        <f>IF(D12=0,"",MAX(0,(1-D63*D55/$E$46)/(1-D55/$E$46)))</f>
        <v/>
      </c>
      <c r="E64" s="308" t="str">
        <f>IF(E12=0,"",MAX(0,(1-E63*D55/$E$46)/(1-D55/$E$46)))</f>
        <v/>
      </c>
      <c r="F64" s="308" t="str">
        <f>IF(F12=0,"",MAX(0,(1-F63*C55/$E$46)/(1-C55/$E$46)))</f>
        <v/>
      </c>
      <c r="G64" s="308" t="str">
        <f>IF(G12=0,"",MAX(0,(1-G63*D55/$E$46)/(1-D55/$E$46)))</f>
        <v/>
      </c>
      <c r="H64" s="308" t="str">
        <f>IF(H12=0,"",MAX(0,(1-H63*D55/$E$46)/(1-D55/$E$46)))</f>
        <v/>
      </c>
      <c r="I64" s="308" t="str">
        <f>IF(I12=0,"",MAX(0,(1-I63*E55/$E$46)/(1-E55/$E$46)))</f>
        <v/>
      </c>
      <c r="J64" s="308" t="str">
        <f>IF(J12=0,"",MAX(0,(1-J63*F55/$E$46)/(1-F55/$E$46)))</f>
        <v/>
      </c>
      <c r="K64" s="308" t="str">
        <f>IF(K12=0,"",MAX(0,(1-K63*F55/$E$46)/(1-F55/$E$46)))</f>
        <v/>
      </c>
      <c r="L64" s="308" t="str">
        <f>IF(L12=0,"",MAX(0,(1-L63*E55/$E$46)/(1-E55/$E$46)))</f>
        <v/>
      </c>
      <c r="M64" s="308" t="str">
        <f>IF(M12=0,"",MAX(0,(1-M63*F55/$E$46)/(1-F55/$E$46)))</f>
        <v/>
      </c>
      <c r="N64" s="314" t="str">
        <f>IF(N12=0,"",MAX(0,(1-N63*F55/$E$46)/(1-F55/$E$46)))</f>
        <v/>
      </c>
    </row>
    <row r="65" spans="1:17" x14ac:dyDescent="0.25">
      <c r="A65" s="312" t="s">
        <v>545</v>
      </c>
      <c r="C65" s="308">
        <f>IF(C62=0,0,IF(C22="Protected",C55/$E$46,D55/$E$46))</f>
        <v>0</v>
      </c>
      <c r="D65" s="308">
        <f>IF(D62=0,0,D55/$E$46)</f>
        <v>0</v>
      </c>
      <c r="E65" s="308">
        <f>IF(E62=0,0,D55/$E$46)</f>
        <v>0</v>
      </c>
      <c r="F65" s="308">
        <f>IF(F62=0,0,IF(F$22="Protected",C55/$E$46,D55/$E$46))</f>
        <v>0</v>
      </c>
      <c r="G65" s="308">
        <f>IF(G62=0,0,D55/$E$46)</f>
        <v>0</v>
      </c>
      <c r="H65" s="308">
        <f>IF(H62=0,0,D55/$E$46)</f>
        <v>0</v>
      </c>
      <c r="I65" s="308">
        <f>IF(I62=0,0,IF(I$22="Protected",E55/$E$46,F55/$E$46))</f>
        <v>0</v>
      </c>
      <c r="J65" s="308">
        <f>IF(J62=0,0,F55/$E$46)</f>
        <v>0</v>
      </c>
      <c r="K65" s="308">
        <f>IF(K62=0,0,F55/$E$46)</f>
        <v>0</v>
      </c>
      <c r="L65" s="308">
        <f>IF(L62=0,0,IF(L$22="Protected",E55/$E$46,F55/$E$46))</f>
        <v>0</v>
      </c>
      <c r="M65" s="308">
        <f>IF(M62=0,0,F55/$E$46)</f>
        <v>0</v>
      </c>
      <c r="N65" s="314">
        <f>IF(N62=0,0,F55/$E$46)</f>
        <v>0</v>
      </c>
      <c r="P65" s="315" t="s">
        <v>946</v>
      </c>
      <c r="Q65" s="316" t="s">
        <v>947</v>
      </c>
    </row>
    <row r="66" spans="1:17" x14ac:dyDescent="0.25">
      <c r="A66" s="312" t="s">
        <v>546</v>
      </c>
      <c r="C66" s="20">
        <f>IF(C62=0,0,IF(C22="Protected",$C57,$D57))</f>
        <v>0</v>
      </c>
      <c r="D66" s="20">
        <f>IF(D62=0,0,$D57)</f>
        <v>0</v>
      </c>
      <c r="E66" s="20">
        <f>IF(E62=0,0,$D57)</f>
        <v>0</v>
      </c>
      <c r="F66" s="20">
        <f>IF(F62=0,0,IF(F22="Protected",$C57,$D57))</f>
        <v>0</v>
      </c>
      <c r="G66" s="20">
        <f>IF(G62=0,0,$D57)</f>
        <v>0</v>
      </c>
      <c r="H66" s="20">
        <f>IF(H62=0,0,$D57)</f>
        <v>0</v>
      </c>
      <c r="I66" s="20">
        <f>IF(I62=0,0,IF(I22="Protected",$E57,$F57))</f>
        <v>0</v>
      </c>
      <c r="J66" s="20">
        <f>IF(J62=0,0,$F57)</f>
        <v>0</v>
      </c>
      <c r="K66" s="20">
        <f>IF(K62=0,0,$F57)</f>
        <v>0</v>
      </c>
      <c r="L66" s="20">
        <f>IF(L62=0,0,IF(L22="Protected",$E57,$F57))</f>
        <v>0</v>
      </c>
      <c r="M66" s="20">
        <f>IF(M62=0,0,$F57)</f>
        <v>0</v>
      </c>
      <c r="N66" s="311">
        <f>IF(N62=0,0,$F57)</f>
        <v>0</v>
      </c>
      <c r="P66" s="317">
        <v>1</v>
      </c>
      <c r="Q66" s="318">
        <v>0.33</v>
      </c>
    </row>
    <row r="67" spans="1:17" x14ac:dyDescent="0.25">
      <c r="A67" s="312" t="s">
        <v>547</v>
      </c>
      <c r="C67" s="319">
        <f>IF(C62=0,0,ROUND(C62/C66,3))</f>
        <v>0</v>
      </c>
      <c r="D67" s="319">
        <f>IF(D62=0,0,ROUND(D62/D66,3))</f>
        <v>0</v>
      </c>
      <c r="E67" s="319">
        <f t="shared" ref="E67:M67" si="6">IF(E62=0,0,ROUND(E62/E66,3))</f>
        <v>0</v>
      </c>
      <c r="F67" s="319">
        <f t="shared" si="6"/>
        <v>0</v>
      </c>
      <c r="G67" s="319">
        <f t="shared" si="6"/>
        <v>0</v>
      </c>
      <c r="H67" s="319">
        <f t="shared" si="6"/>
        <v>0</v>
      </c>
      <c r="I67" s="319">
        <f t="shared" si="6"/>
        <v>0</v>
      </c>
      <c r="J67" s="319">
        <f t="shared" si="6"/>
        <v>0</v>
      </c>
      <c r="K67" s="319">
        <f t="shared" si="6"/>
        <v>0</v>
      </c>
      <c r="L67" s="319">
        <f t="shared" si="6"/>
        <v>0</v>
      </c>
      <c r="M67" s="319">
        <f t="shared" si="6"/>
        <v>0</v>
      </c>
      <c r="N67" s="320" t="str">
        <f>IF(N12=0,"",N62/N66)</f>
        <v/>
      </c>
      <c r="O67" s="321">
        <f>MAX(C67:N67)</f>
        <v>0</v>
      </c>
      <c r="P67" s="317">
        <v>2</v>
      </c>
      <c r="Q67" s="318">
        <v>0.67</v>
      </c>
    </row>
    <row r="68" spans="1:17" x14ac:dyDescent="0.25">
      <c r="A68" s="312" t="s">
        <v>548</v>
      </c>
      <c r="C68" s="322">
        <f>ROUND(IF(C62=0,0,(0.5*$E$46*((1-C65)^2))/(1-(MIN(1,C62/C66)*C65))),1)</f>
        <v>0</v>
      </c>
      <c r="D68" s="322">
        <f t="shared" ref="D68:N68" si="7">ROUND(IF(D62=0,0,(0.5*$E$46*((1-D65)^2))/(1-(MIN(1,D62/D66)*D65))),1)</f>
        <v>0</v>
      </c>
      <c r="E68" s="322">
        <f t="shared" si="7"/>
        <v>0</v>
      </c>
      <c r="F68" s="322">
        <f t="shared" si="7"/>
        <v>0</v>
      </c>
      <c r="G68" s="322">
        <f t="shared" si="7"/>
        <v>0</v>
      </c>
      <c r="H68" s="322">
        <f t="shared" si="7"/>
        <v>0</v>
      </c>
      <c r="I68" s="322">
        <f t="shared" si="7"/>
        <v>0</v>
      </c>
      <c r="J68" s="322">
        <f t="shared" si="7"/>
        <v>0</v>
      </c>
      <c r="K68" s="322">
        <f t="shared" si="7"/>
        <v>0</v>
      </c>
      <c r="L68" s="322">
        <f t="shared" si="7"/>
        <v>0</v>
      </c>
      <c r="M68" s="322">
        <f t="shared" si="7"/>
        <v>0</v>
      </c>
      <c r="N68" s="323">
        <f t="shared" si="7"/>
        <v>0</v>
      </c>
      <c r="P68" s="317">
        <v>3</v>
      </c>
      <c r="Q68" s="318">
        <v>1</v>
      </c>
    </row>
    <row r="69" spans="1:17" x14ac:dyDescent="0.25">
      <c r="A69" s="312" t="s">
        <v>549</v>
      </c>
      <c r="C69" s="324">
        <f>IF(C62=0,0,225*(((C62/C66)-1)+SQRT((((C62/C66)-1)^2)+(16*(C62/C66)/(C66*EBleftLanes)))))</f>
        <v>0</v>
      </c>
      <c r="D69" s="324">
        <f t="shared" ref="D69:K69" si="8">IF(D62=0,0,225*(((D62/D66)-1)+SQRT((((D62/D66)-1)^2)+(16*(D62/D66)/(D66*D12)))))</f>
        <v>0</v>
      </c>
      <c r="E69" s="324">
        <f t="shared" si="8"/>
        <v>0</v>
      </c>
      <c r="F69" s="324">
        <f t="shared" si="8"/>
        <v>0</v>
      </c>
      <c r="G69" s="324">
        <f t="shared" si="8"/>
        <v>0</v>
      </c>
      <c r="H69" s="324">
        <f t="shared" si="8"/>
        <v>0</v>
      </c>
      <c r="I69" s="324">
        <f t="shared" si="8"/>
        <v>0</v>
      </c>
      <c r="J69" s="324">
        <f t="shared" si="8"/>
        <v>0</v>
      </c>
      <c r="K69" s="324">
        <f t="shared" si="8"/>
        <v>0</v>
      </c>
      <c r="L69" s="324">
        <f>(IF(L62=0,0,225*(((L62/L66)-1)+SQRT((((L62/L66)-1)^2)+(16*(L62/L66)/(L66*L12))))))</f>
        <v>0</v>
      </c>
      <c r="M69" s="324">
        <f>IF(M62=0,0,225*(((M62/M66)-1)+SQRT((((M62/M66)-1)^2)+(16*(M62/M66)/(M66*M12)))))</f>
        <v>0</v>
      </c>
      <c r="N69" s="325">
        <f>IF(N62=0,0,225*(((N62/N66)-1)+SQRT((((N62/N66)-1)^2)+(16*(N62/N66)/(N66*N12)))))</f>
        <v>0</v>
      </c>
      <c r="P69" s="317">
        <v>4</v>
      </c>
      <c r="Q69" s="318">
        <v>1.33</v>
      </c>
    </row>
    <row r="70" spans="1:17" x14ac:dyDescent="0.25">
      <c r="A70" s="312" t="s">
        <v>550</v>
      </c>
      <c r="C70" s="322">
        <f t="shared" ref="C70:N70" si="9">IF(C62=0,0,(C68*C64)+C69)</f>
        <v>0</v>
      </c>
      <c r="D70" s="322">
        <f t="shared" si="9"/>
        <v>0</v>
      </c>
      <c r="E70" s="322">
        <f t="shared" si="9"/>
        <v>0</v>
      </c>
      <c r="F70" s="322">
        <f t="shared" si="9"/>
        <v>0</v>
      </c>
      <c r="G70" s="322">
        <f t="shared" si="9"/>
        <v>0</v>
      </c>
      <c r="H70" s="322">
        <f t="shared" si="9"/>
        <v>0</v>
      </c>
      <c r="I70" s="322">
        <f t="shared" si="9"/>
        <v>0</v>
      </c>
      <c r="J70" s="322">
        <f t="shared" si="9"/>
        <v>0</v>
      </c>
      <c r="K70" s="322">
        <f t="shared" si="9"/>
        <v>0</v>
      </c>
      <c r="L70" s="322">
        <f t="shared" si="9"/>
        <v>0</v>
      </c>
      <c r="M70" s="322">
        <f t="shared" si="9"/>
        <v>0</v>
      </c>
      <c r="N70" s="323">
        <f t="shared" si="9"/>
        <v>0</v>
      </c>
      <c r="P70" s="317">
        <v>5</v>
      </c>
      <c r="Q70" s="318">
        <v>1.67</v>
      </c>
    </row>
    <row r="71" spans="1:17" ht="15.75" thickBot="1" x14ac:dyDescent="0.3">
      <c r="A71" s="326" t="s">
        <v>72</v>
      </c>
      <c r="B71" s="327"/>
      <c r="C71" s="328" t="str">
        <f>IF(C62=0,"",IF(C67&gt;1,"F",IF(C70&lt;=10,"A",IF(C70&lt;=20,"B",IF(C70&lt;=35,"C",IF(C70&lt;=55,"D",IF(C70&lt;=80,"E","F")))))))</f>
        <v/>
      </c>
      <c r="D71" s="328" t="str">
        <f t="shared" ref="D71:N71" si="10">IF(D62=0,"",IF(D67&gt;1,"F",IF(D70&lt;=10,"A",IF(D70&lt;=20,"B",IF(D70&lt;=35,"C",IF(D70&lt;=55,"D",IF(D70&lt;=80,"E","F")))))))</f>
        <v/>
      </c>
      <c r="E71" s="328" t="str">
        <f t="shared" si="10"/>
        <v/>
      </c>
      <c r="F71" s="328" t="str">
        <f t="shared" si="10"/>
        <v/>
      </c>
      <c r="G71" s="328" t="str">
        <f t="shared" si="10"/>
        <v/>
      </c>
      <c r="H71" s="328" t="str">
        <f t="shared" si="10"/>
        <v/>
      </c>
      <c r="I71" s="328" t="str">
        <f t="shared" si="10"/>
        <v/>
      </c>
      <c r="J71" s="328" t="str">
        <f t="shared" si="10"/>
        <v/>
      </c>
      <c r="K71" s="328" t="str">
        <f t="shared" si="10"/>
        <v/>
      </c>
      <c r="L71" s="328" t="str">
        <f t="shared" si="10"/>
        <v/>
      </c>
      <c r="M71" s="328" t="str">
        <f t="shared" si="10"/>
        <v/>
      </c>
      <c r="N71" s="329" t="str">
        <f t="shared" si="10"/>
        <v/>
      </c>
      <c r="P71" s="330">
        <v>6</v>
      </c>
      <c r="Q71" s="331">
        <v>2</v>
      </c>
    </row>
    <row r="72" spans="1:17" hidden="1" x14ac:dyDescent="0.25"/>
    <row r="73" spans="1:17" ht="15.75" x14ac:dyDescent="0.25">
      <c r="A73" s="332" t="s">
        <v>551</v>
      </c>
      <c r="B73" s="333"/>
      <c r="C73" s="334" t="e">
        <f>SUMPRODUCT(C70:N70,C36:N36)/SUM(C36:N36)</f>
        <v>#DIV/0!</v>
      </c>
      <c r="D73" s="335" t="s">
        <v>4</v>
      </c>
      <c r="I73" s="336"/>
    </row>
    <row r="74" spans="1:17" ht="18.75" x14ac:dyDescent="0.3">
      <c r="A74" s="312" t="s">
        <v>505</v>
      </c>
      <c r="C74" s="337" t="e">
        <f>IF(C75&gt;1,"F",IF(C73&lt;=10,"A",IF(C73&lt;=20,"B",IF(C73&lt;=35,"C",IF(C73&lt;=55,"D",IF(C73&lt;=80,"E","F"))))))</f>
        <v>#DIV/0!</v>
      </c>
      <c r="D74" s="338"/>
    </row>
    <row r="75" spans="1:17" ht="15.75" x14ac:dyDescent="0.25">
      <c r="A75" s="326" t="s">
        <v>552</v>
      </c>
      <c r="B75" s="327"/>
      <c r="C75" s="339" t="e">
        <f>(N46/E48)/(SUM(C55:F55)/E46)</f>
        <v>#DIV/0!</v>
      </c>
      <c r="D75" s="340"/>
    </row>
    <row r="76" spans="1:17" ht="15.75" thickBot="1" x14ac:dyDescent="0.3"/>
    <row r="77" spans="1:17" ht="19.5" thickBot="1" x14ac:dyDescent="0.35">
      <c r="A77" s="1603" t="s">
        <v>553</v>
      </c>
      <c r="B77" s="1604"/>
      <c r="C77" s="1604"/>
      <c r="D77" s="1604"/>
      <c r="E77" s="1604"/>
      <c r="F77" s="263"/>
      <c r="G77" s="263"/>
      <c r="H77" s="1604"/>
      <c r="I77" s="1604"/>
      <c r="J77" s="263"/>
      <c r="K77" s="1605"/>
      <c r="L77" s="1605"/>
      <c r="M77" s="1605"/>
      <c r="N77" s="1606"/>
    </row>
    <row r="78" spans="1:17" x14ac:dyDescent="0.25">
      <c r="A78" s="1556" t="s">
        <v>338</v>
      </c>
      <c r="B78" s="1595"/>
      <c r="C78" s="1596" t="s">
        <v>507</v>
      </c>
      <c r="D78" s="1597"/>
      <c r="E78" s="1598"/>
      <c r="F78" s="1596" t="s">
        <v>508</v>
      </c>
      <c r="G78" s="1597"/>
      <c r="H78" s="1598"/>
      <c r="I78" s="1596" t="s">
        <v>509</v>
      </c>
      <c r="J78" s="1597"/>
      <c r="K78" s="1598"/>
      <c r="L78" s="1596" t="s">
        <v>510</v>
      </c>
      <c r="M78" s="1597"/>
      <c r="N78" s="1598"/>
    </row>
    <row r="79" spans="1:17" x14ac:dyDescent="0.25">
      <c r="A79" s="1556" t="s">
        <v>511</v>
      </c>
      <c r="B79" s="1595"/>
      <c r="C79" s="267" t="s">
        <v>9</v>
      </c>
      <c r="D79" s="267" t="s">
        <v>10</v>
      </c>
      <c r="E79" s="267" t="s">
        <v>11</v>
      </c>
      <c r="F79" s="267" t="s">
        <v>9</v>
      </c>
      <c r="G79" s="267" t="s">
        <v>10</v>
      </c>
      <c r="H79" s="267" t="s">
        <v>11</v>
      </c>
      <c r="I79" s="267" t="s">
        <v>9</v>
      </c>
      <c r="J79" s="267" t="s">
        <v>10</v>
      </c>
      <c r="K79" s="267" t="s">
        <v>11</v>
      </c>
      <c r="L79" s="267" t="s">
        <v>9</v>
      </c>
      <c r="M79" s="267" t="s">
        <v>10</v>
      </c>
      <c r="N79" s="267" t="s">
        <v>11</v>
      </c>
    </row>
    <row r="80" spans="1:17" x14ac:dyDescent="0.25">
      <c r="A80" s="21" t="s">
        <v>528</v>
      </c>
      <c r="B80" s="21"/>
      <c r="C80" s="341">
        <f t="shared" ref="C80:N80" si="11">C37</f>
        <v>0</v>
      </c>
      <c r="D80" s="342">
        <f t="shared" si="11"/>
        <v>0</v>
      </c>
      <c r="E80" s="342">
        <f t="shared" si="11"/>
        <v>0</v>
      </c>
      <c r="F80" s="342">
        <f t="shared" si="11"/>
        <v>0</v>
      </c>
      <c r="G80" s="342" t="b">
        <f t="shared" si="11"/>
        <v>0</v>
      </c>
      <c r="H80" s="342">
        <f t="shared" si="11"/>
        <v>0</v>
      </c>
      <c r="I80" s="342">
        <f t="shared" si="11"/>
        <v>0</v>
      </c>
      <c r="J80" s="342" t="b">
        <f t="shared" si="11"/>
        <v>0</v>
      </c>
      <c r="K80" s="342">
        <f t="shared" si="11"/>
        <v>0</v>
      </c>
      <c r="L80" s="342">
        <f t="shared" si="11"/>
        <v>0</v>
      </c>
      <c r="M80" s="342" t="b">
        <f t="shared" si="11"/>
        <v>0</v>
      </c>
      <c r="N80" s="343">
        <f t="shared" si="11"/>
        <v>0</v>
      </c>
    </row>
    <row r="81" spans="1:14" ht="14.25" customHeight="1" x14ac:dyDescent="0.25">
      <c r="A81" s="21" t="s">
        <v>976</v>
      </c>
      <c r="B81" s="21"/>
      <c r="C81" s="344" t="e">
        <f>IF(C80="","",C80/(3600/$E$46))</f>
        <v>#DIV/0!</v>
      </c>
      <c r="D81" s="345" t="e">
        <f t="shared" ref="D81:M81" si="12">IF(D80="","",D80/(3600/$E$46))</f>
        <v>#DIV/0!</v>
      </c>
      <c r="E81" s="345" t="e">
        <f t="shared" si="12"/>
        <v>#DIV/0!</v>
      </c>
      <c r="F81" s="345" t="e">
        <f t="shared" si="12"/>
        <v>#DIV/0!</v>
      </c>
      <c r="G81" s="345" t="e">
        <f t="shared" si="12"/>
        <v>#DIV/0!</v>
      </c>
      <c r="H81" s="345" t="e">
        <f t="shared" si="12"/>
        <v>#DIV/0!</v>
      </c>
      <c r="I81" s="345" t="e">
        <f t="shared" si="12"/>
        <v>#DIV/0!</v>
      </c>
      <c r="J81" s="345" t="e">
        <f t="shared" si="12"/>
        <v>#DIV/0!</v>
      </c>
      <c r="K81" s="345" t="str">
        <f>IF(K12="","",K80/(3600/$E$46))</f>
        <v/>
      </c>
      <c r="L81" s="345" t="e">
        <f t="shared" si="12"/>
        <v>#DIV/0!</v>
      </c>
      <c r="M81" s="345" t="e">
        <f t="shared" si="12"/>
        <v>#DIV/0!</v>
      </c>
      <c r="N81" s="346" t="str">
        <f>IF(N12="","",N80/(3600/$E$46))</f>
        <v/>
      </c>
    </row>
    <row r="82" spans="1:14" x14ac:dyDescent="0.25">
      <c r="A82" t="s">
        <v>548</v>
      </c>
      <c r="C82" s="347">
        <f t="shared" ref="C82:N82" si="13">C68</f>
        <v>0</v>
      </c>
      <c r="D82" s="322">
        <f t="shared" si="13"/>
        <v>0</v>
      </c>
      <c r="E82" s="322">
        <f t="shared" si="13"/>
        <v>0</v>
      </c>
      <c r="F82" s="322">
        <f t="shared" si="13"/>
        <v>0</v>
      </c>
      <c r="G82" s="322">
        <f t="shared" si="13"/>
        <v>0</v>
      </c>
      <c r="H82" s="322">
        <f t="shared" si="13"/>
        <v>0</v>
      </c>
      <c r="I82" s="322">
        <f t="shared" si="13"/>
        <v>0</v>
      </c>
      <c r="J82" s="322">
        <f t="shared" si="13"/>
        <v>0</v>
      </c>
      <c r="K82" s="322">
        <f t="shared" si="13"/>
        <v>0</v>
      </c>
      <c r="L82" s="322">
        <f t="shared" si="13"/>
        <v>0</v>
      </c>
      <c r="M82" s="322">
        <f t="shared" si="13"/>
        <v>0</v>
      </c>
      <c r="N82" s="323">
        <f t="shared" si="13"/>
        <v>0</v>
      </c>
    </row>
    <row r="83" spans="1:14" x14ac:dyDescent="0.25">
      <c r="A83" t="s">
        <v>546</v>
      </c>
      <c r="C83" s="348">
        <f t="shared" ref="C83:N83" si="14">C66</f>
        <v>0</v>
      </c>
      <c r="D83" s="20">
        <f t="shared" si="14"/>
        <v>0</v>
      </c>
      <c r="E83" s="20">
        <f t="shared" si="14"/>
        <v>0</v>
      </c>
      <c r="F83" s="20">
        <f t="shared" si="14"/>
        <v>0</v>
      </c>
      <c r="G83" s="20">
        <f t="shared" si="14"/>
        <v>0</v>
      </c>
      <c r="H83" s="20">
        <f t="shared" si="14"/>
        <v>0</v>
      </c>
      <c r="I83" s="20">
        <f t="shared" si="14"/>
        <v>0</v>
      </c>
      <c r="J83" s="20">
        <f t="shared" si="14"/>
        <v>0</v>
      </c>
      <c r="K83" s="20">
        <f t="shared" si="14"/>
        <v>0</v>
      </c>
      <c r="L83" s="20">
        <f t="shared" si="14"/>
        <v>0</v>
      </c>
      <c r="M83" s="20">
        <f t="shared" si="14"/>
        <v>0</v>
      </c>
      <c r="N83" s="311">
        <f t="shared" si="14"/>
        <v>0</v>
      </c>
    </row>
    <row r="84" spans="1:14" hidden="1" x14ac:dyDescent="0.25">
      <c r="A84" t="s">
        <v>554</v>
      </c>
      <c r="C84" s="349">
        <f>IF(C80&gt;C83,"v/c &gt; 1",ROUNDUP((C82*C83)/3600,0))</f>
        <v>0</v>
      </c>
      <c r="D84" s="324">
        <f>IF(D80&gt;D83,"v/c &gt; 1",ROUNDUP((D82*D83)/3600,0))</f>
        <v>0</v>
      </c>
      <c r="E84" s="324">
        <f t="shared" ref="E84:N84" si="15">IF(E80&gt;E83,"v/c &gt; 1",ROUNDUP((E82*E83)/3600,0))</f>
        <v>0</v>
      </c>
      <c r="F84" s="324">
        <f t="shared" si="15"/>
        <v>0</v>
      </c>
      <c r="G84" s="324" t="str">
        <f t="shared" si="15"/>
        <v>v/c &gt; 1</v>
      </c>
      <c r="H84" s="324">
        <f t="shared" si="15"/>
        <v>0</v>
      </c>
      <c r="I84" s="324">
        <f t="shared" si="15"/>
        <v>0</v>
      </c>
      <c r="J84" s="324" t="str">
        <f t="shared" si="15"/>
        <v>v/c &gt; 1</v>
      </c>
      <c r="K84" s="324">
        <f t="shared" si="15"/>
        <v>0</v>
      </c>
      <c r="L84" s="324">
        <f t="shared" si="15"/>
        <v>0</v>
      </c>
      <c r="M84" s="324" t="str">
        <f t="shared" si="15"/>
        <v>v/c &gt; 1</v>
      </c>
      <c r="N84" s="350">
        <f t="shared" si="15"/>
        <v>0</v>
      </c>
    </row>
    <row r="85" spans="1:14" hidden="1" x14ac:dyDescent="0.25">
      <c r="A85" t="s">
        <v>555</v>
      </c>
      <c r="C85" s="351">
        <f>IF(C80&gt;C83,"v/c &gt; 1",ROUNDUP((2*C82*C83)/3600,0))</f>
        <v>0</v>
      </c>
      <c r="D85" s="352">
        <f t="shared" ref="D85:N85" si="16">IF(D80&gt;D83,"v/c &gt; 1",ROUNDUP((2*D82*D83)/3600,0))</f>
        <v>0</v>
      </c>
      <c r="E85" s="352">
        <f t="shared" si="16"/>
        <v>0</v>
      </c>
      <c r="F85" s="352">
        <f t="shared" si="16"/>
        <v>0</v>
      </c>
      <c r="G85" s="352" t="str">
        <f t="shared" si="16"/>
        <v>v/c &gt; 1</v>
      </c>
      <c r="H85" s="352">
        <f t="shared" si="16"/>
        <v>0</v>
      </c>
      <c r="I85" s="352">
        <f t="shared" si="16"/>
        <v>0</v>
      </c>
      <c r="J85" s="352" t="str">
        <f t="shared" si="16"/>
        <v>v/c &gt; 1</v>
      </c>
      <c r="K85" s="352">
        <f t="shared" si="16"/>
        <v>0</v>
      </c>
      <c r="L85" s="352">
        <f t="shared" si="16"/>
        <v>0</v>
      </c>
      <c r="M85" s="352" t="str">
        <f t="shared" si="16"/>
        <v>v/c &gt; 1</v>
      </c>
      <c r="N85" s="350">
        <f t="shared" si="16"/>
        <v>0</v>
      </c>
    </row>
    <row r="86" spans="1:14" hidden="1" x14ac:dyDescent="0.25">
      <c r="C86" s="312"/>
      <c r="N86" s="353"/>
    </row>
    <row r="87" spans="1:14" hidden="1" x14ac:dyDescent="0.25">
      <c r="A87" t="s">
        <v>975</v>
      </c>
      <c r="C87" s="354" t="str">
        <f>IF(EBleftLanes=0,"",IF(C55=0,D55,C55))</f>
        <v/>
      </c>
      <c r="D87" s="308" t="e">
        <f>D55</f>
        <v>#DIV/0!</v>
      </c>
      <c r="E87" s="308" t="str">
        <f>IF(EBrightLanes=0,"",D55)</f>
        <v/>
      </c>
      <c r="F87" s="308" t="str">
        <f>IF(WBleftLanes=0,"",IF(C55=0,D55,C55))</f>
        <v/>
      </c>
      <c r="G87" s="308" t="e">
        <f>D55</f>
        <v>#DIV/0!</v>
      </c>
      <c r="H87" s="308" t="str">
        <f>IF(EBrightLanes=0,"",D55)</f>
        <v/>
      </c>
      <c r="I87" s="308" t="str">
        <f>IF(NBleftLanes=0,"",IF(E55=0,F55,E55))</f>
        <v/>
      </c>
      <c r="J87" s="308" t="e">
        <f>F55</f>
        <v>#DIV/0!</v>
      </c>
      <c r="K87" s="308" t="str">
        <f>IF(K12=0,"",F55)</f>
        <v/>
      </c>
      <c r="L87" s="308" t="str">
        <f>IF(SBleftLanes=0,"",IF(E55=0,F55,E55))</f>
        <v/>
      </c>
      <c r="M87" s="308" t="e">
        <f>F55</f>
        <v>#DIV/0!</v>
      </c>
      <c r="N87" s="314" t="str">
        <f>IF(N12=0,"",F55)</f>
        <v/>
      </c>
    </row>
    <row r="88" spans="1:14" x14ac:dyDescent="0.25">
      <c r="A88" t="s">
        <v>1186</v>
      </c>
      <c r="C88" s="355" t="str">
        <f>IF(C87="","",($E$46-C87)*(C80/3600)/(1-C80/$E$48))</f>
        <v/>
      </c>
      <c r="D88" s="356" t="e">
        <f t="shared" ref="D88:N88" si="17">IF(D87="","",($E$46-D87)*(D80/3600)/(1-D80/$E$48))</f>
        <v>#DIV/0!</v>
      </c>
      <c r="E88" s="356" t="str">
        <f t="shared" si="17"/>
        <v/>
      </c>
      <c r="F88" s="356" t="str">
        <f t="shared" si="17"/>
        <v/>
      </c>
      <c r="G88" s="356" t="e">
        <f t="shared" si="17"/>
        <v>#DIV/0!</v>
      </c>
      <c r="H88" s="356" t="str">
        <f t="shared" si="17"/>
        <v/>
      </c>
      <c r="I88" s="356" t="str">
        <f t="shared" si="17"/>
        <v/>
      </c>
      <c r="J88" s="356" t="e">
        <f t="shared" si="17"/>
        <v>#DIV/0!</v>
      </c>
      <c r="K88" s="356" t="str">
        <f t="shared" si="17"/>
        <v/>
      </c>
      <c r="L88" s="356" t="str">
        <f t="shared" si="17"/>
        <v/>
      </c>
      <c r="M88" s="356" t="e">
        <f t="shared" si="17"/>
        <v>#DIV/0!</v>
      </c>
      <c r="N88" s="357" t="str">
        <f t="shared" si="17"/>
        <v/>
      </c>
    </row>
    <row r="89" spans="1:14" x14ac:dyDescent="0.25">
      <c r="A89" s="358" t="s">
        <v>1187</v>
      </c>
      <c r="B89" s="260"/>
      <c r="C89" s="359" t="str">
        <f>IF(C88="","",2.577*C88^0.7577)</f>
        <v/>
      </c>
      <c r="D89" s="359" t="e">
        <f t="shared" ref="D89:N89" si="18">IF(D88="","",2.577*D88^0.7577)</f>
        <v>#DIV/0!</v>
      </c>
      <c r="E89" s="359" t="str">
        <f t="shared" si="18"/>
        <v/>
      </c>
      <c r="F89" s="359" t="str">
        <f t="shared" si="18"/>
        <v/>
      </c>
      <c r="G89" s="359" t="e">
        <f t="shared" si="18"/>
        <v>#DIV/0!</v>
      </c>
      <c r="H89" s="359" t="str">
        <f t="shared" si="18"/>
        <v/>
      </c>
      <c r="I89" s="359" t="str">
        <f t="shared" si="18"/>
        <v/>
      </c>
      <c r="J89" s="359" t="e">
        <f t="shared" si="18"/>
        <v>#DIV/0!</v>
      </c>
      <c r="K89" s="359" t="str">
        <f t="shared" si="18"/>
        <v/>
      </c>
      <c r="L89" s="359" t="str">
        <f t="shared" si="18"/>
        <v/>
      </c>
      <c r="M89" s="359" t="e">
        <f t="shared" si="18"/>
        <v>#DIV/0!</v>
      </c>
      <c r="N89" s="360" t="str">
        <f t="shared" si="18"/>
        <v/>
      </c>
    </row>
  </sheetData>
  <mergeCells count="110">
    <mergeCell ref="A1:E1"/>
    <mergeCell ref="K1:N1"/>
    <mergeCell ref="A2:B2"/>
    <mergeCell ref="C2:E2"/>
    <mergeCell ref="F2:H2"/>
    <mergeCell ref="I2:K2"/>
    <mergeCell ref="L2:N2"/>
    <mergeCell ref="A8:B8"/>
    <mergeCell ref="D8:N8"/>
    <mergeCell ref="F1:I1"/>
    <mergeCell ref="A9:N9"/>
    <mergeCell ref="A10:B10"/>
    <mergeCell ref="C10:E10"/>
    <mergeCell ref="F10:H10"/>
    <mergeCell ref="I10:K10"/>
    <mergeCell ref="L10:N10"/>
    <mergeCell ref="A3:B3"/>
    <mergeCell ref="A4:N4"/>
    <mergeCell ref="A5:B5"/>
    <mergeCell ref="A6:B6"/>
    <mergeCell ref="A14:N14"/>
    <mergeCell ref="A15:B15"/>
    <mergeCell ref="C15:E15"/>
    <mergeCell ref="F15:H15"/>
    <mergeCell ref="I15:K15"/>
    <mergeCell ref="L15:N15"/>
    <mergeCell ref="A11:B11"/>
    <mergeCell ref="A12:B12"/>
    <mergeCell ref="A13:B13"/>
    <mergeCell ref="A16:B16"/>
    <mergeCell ref="C16:E16"/>
    <mergeCell ref="F16:H16"/>
    <mergeCell ref="I16:K16"/>
    <mergeCell ref="L16:N16"/>
    <mergeCell ref="A17:B17"/>
    <mergeCell ref="C17:E17"/>
    <mergeCell ref="F17:H17"/>
    <mergeCell ref="I17:K17"/>
    <mergeCell ref="L17:N17"/>
    <mergeCell ref="A18:B18"/>
    <mergeCell ref="C18:E18"/>
    <mergeCell ref="F18:H18"/>
    <mergeCell ref="I18:K18"/>
    <mergeCell ref="L18:N18"/>
    <mergeCell ref="A19:B19"/>
    <mergeCell ref="C19:E19"/>
    <mergeCell ref="F19:H19"/>
    <mergeCell ref="I19:K19"/>
    <mergeCell ref="L19:N19"/>
    <mergeCell ref="A20:B20"/>
    <mergeCell ref="C20:E20"/>
    <mergeCell ref="F20:H20"/>
    <mergeCell ref="I20:K20"/>
    <mergeCell ref="L20:N20"/>
    <mergeCell ref="A21:B21"/>
    <mergeCell ref="C21:E21"/>
    <mergeCell ref="F21:H21"/>
    <mergeCell ref="I21:K21"/>
    <mergeCell ref="L21:N21"/>
    <mergeCell ref="A24:B24"/>
    <mergeCell ref="C24:E24"/>
    <mergeCell ref="F24:H24"/>
    <mergeCell ref="I24:K24"/>
    <mergeCell ref="L24:N24"/>
    <mergeCell ref="A25:N25"/>
    <mergeCell ref="A22:B22"/>
    <mergeCell ref="C22:E22"/>
    <mergeCell ref="F22:H22"/>
    <mergeCell ref="I22:K22"/>
    <mergeCell ref="L22:N22"/>
    <mergeCell ref="A23:N23"/>
    <mergeCell ref="A37:B37"/>
    <mergeCell ref="A39:N39"/>
    <mergeCell ref="A40:B40"/>
    <mergeCell ref="I40:N40"/>
    <mergeCell ref="A43:B43"/>
    <mergeCell ref="C43:H43"/>
    <mergeCell ref="I43:N43"/>
    <mergeCell ref="A26:B26"/>
    <mergeCell ref="C26:E26"/>
    <mergeCell ref="F26:H26"/>
    <mergeCell ref="I26:K26"/>
    <mergeCell ref="L26:N26"/>
    <mergeCell ref="A27:B27"/>
    <mergeCell ref="A50:B50"/>
    <mergeCell ref="A52:B52"/>
    <mergeCell ref="A53:B53"/>
    <mergeCell ref="A54:B54"/>
    <mergeCell ref="A55:B55"/>
    <mergeCell ref="A60:B60"/>
    <mergeCell ref="A44:E44"/>
    <mergeCell ref="K44:N44"/>
    <mergeCell ref="A46:B46"/>
    <mergeCell ref="A47:B47"/>
    <mergeCell ref="A49:B49"/>
    <mergeCell ref="F44:I44"/>
    <mergeCell ref="A78:B78"/>
    <mergeCell ref="C78:E78"/>
    <mergeCell ref="F78:H78"/>
    <mergeCell ref="I78:K78"/>
    <mergeCell ref="L78:N78"/>
    <mergeCell ref="A79:B79"/>
    <mergeCell ref="C60:E60"/>
    <mergeCell ref="F60:H60"/>
    <mergeCell ref="I60:K60"/>
    <mergeCell ref="L60:N60"/>
    <mergeCell ref="A61:B61"/>
    <mergeCell ref="A77:E77"/>
    <mergeCell ref="H77:I77"/>
    <mergeCell ref="K77:N77"/>
  </mergeCells>
  <conditionalFormatting sqref="C67:M67">
    <cfRule type="cellIs" dxfId="106" priority="1" operator="greaterThan">
      <formula>1</formula>
    </cfRule>
    <cfRule type="cellIs" dxfId="105" priority="35" operator="equal">
      <formula>0</formula>
    </cfRule>
  </conditionalFormatting>
  <conditionalFormatting sqref="C62:N62">
    <cfRule type="cellIs" dxfId="104" priority="33" operator="equal">
      <formula>0</formula>
    </cfRule>
  </conditionalFormatting>
  <conditionalFormatting sqref="C64:N66">
    <cfRule type="cellIs" dxfId="103" priority="47" operator="equal">
      <formula>0</formula>
    </cfRule>
  </conditionalFormatting>
  <conditionalFormatting sqref="C68:N70">
    <cfRule type="cellIs" dxfId="102" priority="43" operator="equal">
      <formula>0</formula>
    </cfRule>
  </conditionalFormatting>
  <conditionalFormatting sqref="C80:N85">
    <cfRule type="cellIs" dxfId="101" priority="14" operator="equal">
      <formula>0</formula>
    </cfRule>
  </conditionalFormatting>
  <conditionalFormatting sqref="C84:N85">
    <cfRule type="cellIs" dxfId="100" priority="13" operator="equal">
      <formula>"v/c &gt; 1"</formula>
    </cfRule>
  </conditionalFormatting>
  <conditionalFormatting sqref="D42">
    <cfRule type="cellIs" dxfId="99" priority="41" operator="equal">
      <formula>"Over Capacity"</formula>
    </cfRule>
  </conditionalFormatting>
  <conditionalFormatting sqref="E73">
    <cfRule type="cellIs" dxfId="98" priority="51" operator="equal">
      <formula>0</formula>
    </cfRule>
  </conditionalFormatting>
  <conditionalFormatting sqref="G54">
    <cfRule type="cellIs" dxfId="97" priority="52" operator="equal">
      <formula>"ERROR"</formula>
    </cfRule>
    <cfRule type="cellIs" dxfId="96" priority="53" operator="equal">
      <formula>"OK"</formula>
    </cfRule>
  </conditionalFormatting>
  <dataValidations count="7">
    <dataValidation type="list" allowBlank="1" showInputMessage="1" showErrorMessage="1" sqref="C63:N63">
      <formula1>ArrivalType</formula1>
    </dataValidation>
    <dataValidation type="list" showInputMessage="1" showErrorMessage="1" sqref="C24:N24">
      <formula1>PhasingType</formula1>
    </dataValidation>
    <dataValidation type="list" allowBlank="1" showInputMessage="1" showErrorMessage="1" sqref="G12 J12 M12 D12">
      <formula1>"0,1,2,3,4,5"</formula1>
    </dataValidation>
    <dataValidation type="list" allowBlank="1" showInputMessage="1" showErrorMessage="1" sqref="H12:I12 K12:L12 N12 C12 E12:F12">
      <formula1>"0,1,2"</formula1>
    </dataValidation>
    <dataValidation type="list" allowBlank="1" showInputMessage="1" showErrorMessage="1" sqref="C6:N6">
      <formula1>Peds</formula1>
    </dataValidation>
    <dataValidation type="list" allowBlank="1" showInputMessage="1" showErrorMessage="1" sqref="C13:N13">
      <formula1>Parking</formula1>
    </dataValidation>
    <dataValidation type="list" allowBlank="1" showInputMessage="1" showErrorMessage="1" sqref="C21:N21">
      <formula1>$Q$1:$Q$2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6"/>
  <sheetViews>
    <sheetView zoomScale="110" zoomScaleNormal="110" workbookViewId="0">
      <selection activeCell="G7" sqref="G7"/>
    </sheetView>
  </sheetViews>
  <sheetFormatPr defaultColWidth="8.85546875" defaultRowHeight="15" x14ac:dyDescent="0.25"/>
  <cols>
    <col min="1" max="1" width="34.140625" customWidth="1"/>
    <col min="2" max="3" width="12.140625" customWidth="1"/>
    <col min="6" max="6" width="13.28515625" customWidth="1"/>
    <col min="7" max="7" width="12.85546875" customWidth="1"/>
    <col min="10" max="10" width="10.42578125" bestFit="1" customWidth="1"/>
    <col min="11" max="11" width="10.28515625" bestFit="1" customWidth="1"/>
    <col min="12" max="12" width="12" customWidth="1"/>
    <col min="13" max="13" width="10.42578125" bestFit="1" customWidth="1"/>
    <col min="16" max="16" width="4" customWidth="1"/>
    <col min="33" max="33" width="4.7109375" customWidth="1"/>
  </cols>
  <sheetData>
    <row r="1" spans="1:34" ht="19.5" thickBot="1" x14ac:dyDescent="0.35">
      <c r="A1" s="1650">
        <f>'GLOBAL INPUTS'!F55</f>
        <v>0</v>
      </c>
      <c r="B1" s="1651"/>
      <c r="C1" s="1651"/>
      <c r="D1" s="1652"/>
      <c r="F1" s="1649" t="s">
        <v>922</v>
      </c>
      <c r="G1" s="1649"/>
      <c r="H1" s="1649"/>
      <c r="I1" s="1649"/>
      <c r="J1" s="1649"/>
      <c r="K1" s="1649"/>
      <c r="L1" s="1649"/>
      <c r="M1" s="362">
        <f>'GLOBAL INPUTS'!F56</f>
        <v>0</v>
      </c>
      <c r="N1" s="15" t="s">
        <v>147</v>
      </c>
      <c r="O1" s="15"/>
      <c r="Q1" s="363" t="s">
        <v>610</v>
      </c>
      <c r="AH1" s="363" t="s">
        <v>611</v>
      </c>
    </row>
    <row r="2" spans="1:34" ht="15.75" x14ac:dyDescent="0.25">
      <c r="K2" s="24"/>
      <c r="Q2" s="15" t="s">
        <v>878</v>
      </c>
    </row>
    <row r="4" spans="1:34" x14ac:dyDescent="0.25">
      <c r="A4" s="364" t="s">
        <v>466</v>
      </c>
      <c r="B4" s="364" t="s">
        <v>467</v>
      </c>
      <c r="C4" s="364" t="s">
        <v>468</v>
      </c>
      <c r="D4" s="365"/>
      <c r="P4">
        <v>1</v>
      </c>
      <c r="Q4" t="s">
        <v>1189</v>
      </c>
    </row>
    <row r="5" spans="1:34" x14ac:dyDescent="0.25">
      <c r="A5" s="366" t="s">
        <v>469</v>
      </c>
      <c r="B5" s="366"/>
      <c r="C5" s="366" t="s">
        <v>470</v>
      </c>
      <c r="D5" s="367">
        <f>'GLOBAL INPUTS'!F58</f>
        <v>0</v>
      </c>
      <c r="E5" s="18"/>
      <c r="F5" s="18"/>
      <c r="G5" s="18"/>
      <c r="H5" s="18"/>
      <c r="I5" s="18"/>
      <c r="J5" s="18"/>
      <c r="K5" s="18"/>
      <c r="L5" s="18"/>
      <c r="M5" s="18"/>
      <c r="N5" s="18"/>
      <c r="O5" s="18"/>
      <c r="P5">
        <v>2</v>
      </c>
      <c r="Q5" t="s">
        <v>612</v>
      </c>
    </row>
    <row r="6" spans="1:34" ht="18" x14ac:dyDescent="0.35">
      <c r="A6" s="366" t="s">
        <v>471</v>
      </c>
      <c r="B6" s="366"/>
      <c r="C6" s="366" t="s">
        <v>472</v>
      </c>
      <c r="D6" s="367">
        <f>'GLOBAL INPUTS'!F59/100</f>
        <v>0</v>
      </c>
      <c r="E6" s="18"/>
      <c r="F6" s="18"/>
      <c r="G6" s="18"/>
      <c r="H6" s="18"/>
      <c r="I6" s="18"/>
      <c r="J6" s="18"/>
      <c r="K6" s="18"/>
      <c r="L6" s="18"/>
      <c r="M6" s="18"/>
      <c r="N6" s="18"/>
      <c r="O6" s="18"/>
      <c r="P6">
        <v>3</v>
      </c>
      <c r="Q6" t="s">
        <v>613</v>
      </c>
    </row>
    <row r="7" spans="1:34" ht="118.5" customHeight="1" x14ac:dyDescent="0.25">
      <c r="D7" s="18"/>
      <c r="E7" s="18"/>
      <c r="F7" s="368"/>
      <c r="G7" s="18"/>
      <c r="H7" s="18"/>
      <c r="I7" s="18"/>
      <c r="J7" s="18"/>
      <c r="K7" s="18"/>
      <c r="L7" s="18"/>
      <c r="M7" s="18"/>
      <c r="N7" s="18"/>
      <c r="O7" s="18"/>
    </row>
    <row r="8" spans="1:34" ht="15.75" thickBot="1" x14ac:dyDescent="0.3">
      <c r="A8" s="364" t="s">
        <v>614</v>
      </c>
      <c r="B8" s="364"/>
      <c r="C8" s="364"/>
      <c r="D8" s="369">
        <v>1</v>
      </c>
      <c r="E8" s="369">
        <v>2</v>
      </c>
      <c r="F8" s="369">
        <v>3</v>
      </c>
      <c r="G8" s="369">
        <v>4</v>
      </c>
      <c r="H8" s="369">
        <v>5</v>
      </c>
      <c r="I8" s="369">
        <v>6</v>
      </c>
      <c r="J8" s="369">
        <v>7</v>
      </c>
      <c r="K8" s="369">
        <v>8</v>
      </c>
      <c r="L8" s="369">
        <v>9</v>
      </c>
      <c r="M8" s="369">
        <v>10</v>
      </c>
      <c r="N8" s="369">
        <v>11</v>
      </c>
      <c r="O8" s="369">
        <v>12</v>
      </c>
    </row>
    <row r="9" spans="1:34" ht="16.5" thickBot="1" x14ac:dyDescent="0.3">
      <c r="A9" s="364"/>
      <c r="B9" s="364"/>
      <c r="C9" s="370"/>
      <c r="D9" s="371" t="str">
        <f>CONCATENATE('GLOBAL INPUTS'!F56,"L")</f>
        <v>L</v>
      </c>
      <c r="E9" s="372" t="str">
        <f>CONCATENATE('GLOBAL INPUTS'!F56,"T")</f>
        <v>T</v>
      </c>
      <c r="F9" s="373" t="str">
        <f>CONCATENATE('GLOBAL INPUTS'!F56,"R")</f>
        <v>R</v>
      </c>
      <c r="G9" s="374" t="str">
        <f>IF(D9="WBL","EBL",IF(D9="EBL","WBL",IF(D9="NBL","SBL","NBL")))</f>
        <v>NBL</v>
      </c>
      <c r="H9" s="375" t="str">
        <f>IF(E9="WBT","EBT",IF(E9="EBT","WBT",IF(E9="NBT","SBT","NBT")))</f>
        <v>NBT</v>
      </c>
      <c r="I9" s="376" t="str">
        <f>IF(F9="WBR","EBR",IF(F9="EBR","WBR",IF(F9="NBR","SBR","NBR")))</f>
        <v>NBR</v>
      </c>
      <c r="J9" s="371" t="str">
        <f>IF(D9="WBL","SBL",IF(D9="EBL","NBL",IF(D9="NBL","WBL","EBL")))</f>
        <v>EBL</v>
      </c>
      <c r="K9" s="372" t="str">
        <f>IF(E9="WBT","SBT",IF(E9="EBT","NBT",IF(E9="NBT","WBT","EBT")))</f>
        <v>EBT</v>
      </c>
      <c r="L9" s="373" t="str">
        <f>IF(F9="WBR","SBR",IF(F9="EBR","NBR",IF(F9="NBR","WBR","EBR")))</f>
        <v>EBR</v>
      </c>
      <c r="M9" s="374" t="str">
        <f>IF(J9="NBL","SBL",IF(J9="SBL","NBL",IF(J9="EBL","WBL","EBL")))</f>
        <v>WBL</v>
      </c>
      <c r="N9" s="375" t="str">
        <f>IF(K9="NBT","SBT",IF(K9="SBT","NBT",IF(K9="EBT","WBT","EBT")))</f>
        <v>WBT</v>
      </c>
      <c r="O9" s="376" t="str">
        <f>IF(L9="NBR","SBR",IF(L9="SBR","NBR",IF(L9="EBR","WBR","EBR")))</f>
        <v>WBR</v>
      </c>
    </row>
    <row r="10" spans="1:34" ht="18" x14ac:dyDescent="0.35">
      <c r="A10" s="366" t="s">
        <v>760</v>
      </c>
      <c r="B10" s="366" t="s">
        <v>1032</v>
      </c>
      <c r="C10" s="358" t="s">
        <v>479</v>
      </c>
      <c r="D10" s="377" t="e">
        <f>VLOOKUP(D9,'GLOBAL INPUTS'!$Q$56:$S$67,3,FALSE)*'GLOBAL INPUTS'!F68</f>
        <v>#N/A</v>
      </c>
      <c r="E10" s="378" t="e">
        <f>VLOOKUP(E9,'GLOBAL INPUTS'!$Q$56:$S$67,3,FALSE)*'GLOBAL INPUTS'!F68</f>
        <v>#N/A</v>
      </c>
      <c r="F10" s="379" t="e">
        <f>VLOOKUP(F9,'GLOBAL INPUTS'!$Q$56:$S$67,3,FALSE)*'GLOBAL INPUTS'!F68</f>
        <v>#N/A</v>
      </c>
      <c r="G10" s="377">
        <f>VLOOKUP(G9,'GLOBAL INPUTS'!$Q$56:$S$67,3,FALSE)*'GLOBAL INPUTS'!F68</f>
        <v>0</v>
      </c>
      <c r="H10" s="378">
        <f>VLOOKUP(H9,'GLOBAL INPUTS'!$Q$56:$S$67,3,FALSE)*'GLOBAL INPUTS'!F68</f>
        <v>0</v>
      </c>
      <c r="I10" s="380">
        <f>VLOOKUP(I9,'GLOBAL INPUTS'!$Q$56:$S$67,3,FALSE)*'GLOBAL INPUTS'!F68</f>
        <v>0</v>
      </c>
      <c r="J10" s="377">
        <f>VLOOKUP(J9,'GLOBAL INPUTS'!$Q$56:$S$67,3,FALSE)*'GLOBAL INPUTS'!F68</f>
        <v>0</v>
      </c>
      <c r="K10" s="378">
        <f>VLOOKUP(K9,'GLOBAL INPUTS'!$Q$56:$S$67,3,FALSE)*'GLOBAL INPUTS'!F68</f>
        <v>0</v>
      </c>
      <c r="L10" s="380">
        <f>VLOOKUP(L9,'GLOBAL INPUTS'!$Q$56:$S$67,3,FALSE)*'GLOBAL INPUTS'!F68</f>
        <v>0</v>
      </c>
      <c r="M10" s="377">
        <f>VLOOKUP(M9,'GLOBAL INPUTS'!$Q$56:$S$67,3,FALSE)*'GLOBAL INPUTS'!F68</f>
        <v>0</v>
      </c>
      <c r="N10" s="378">
        <f>VLOOKUP(N9,'GLOBAL INPUTS'!$Q$56:$S$67,3,FALSE)*'GLOBAL INPUTS'!F68</f>
        <v>0</v>
      </c>
      <c r="O10" s="380">
        <f>VLOOKUP(O9,'GLOBAL INPUTS'!$Q$56:$S$67,3,FALSE)*'GLOBAL INPUTS'!F68</f>
        <v>0</v>
      </c>
      <c r="Q10" t="s">
        <v>1031</v>
      </c>
    </row>
    <row r="11" spans="1:34" ht="15.75" x14ac:dyDescent="0.25">
      <c r="A11" s="366" t="s">
        <v>615</v>
      </c>
      <c r="B11" s="366"/>
      <c r="C11" s="358"/>
      <c r="D11" s="401"/>
      <c r="E11" s="402"/>
      <c r="F11" s="403"/>
      <c r="G11" s="401"/>
      <c r="H11" s="402"/>
      <c r="I11" s="403"/>
      <c r="J11" s="401"/>
      <c r="K11" s="402"/>
      <c r="L11" s="403"/>
      <c r="M11" s="401"/>
      <c r="N11" s="402"/>
      <c r="O11" s="403"/>
      <c r="Q11" t="s">
        <v>616</v>
      </c>
    </row>
    <row r="12" spans="1:34" ht="18.75" thickBot="1" x14ac:dyDescent="0.4">
      <c r="A12" s="366" t="s">
        <v>617</v>
      </c>
      <c r="B12" s="366" t="s">
        <v>1032</v>
      </c>
      <c r="C12" s="358" t="s">
        <v>481</v>
      </c>
      <c r="D12" s="381" t="e">
        <f t="shared" ref="D12:O12" si="0">ROUND(D10/$D$5,0)</f>
        <v>#N/A</v>
      </c>
      <c r="E12" s="382" t="e">
        <f t="shared" si="0"/>
        <v>#N/A</v>
      </c>
      <c r="F12" s="383" t="e">
        <f t="shared" si="0"/>
        <v>#N/A</v>
      </c>
      <c r="G12" s="381" t="e">
        <f t="shared" si="0"/>
        <v>#DIV/0!</v>
      </c>
      <c r="H12" s="382" t="e">
        <f t="shared" si="0"/>
        <v>#DIV/0!</v>
      </c>
      <c r="I12" s="383" t="e">
        <f t="shared" si="0"/>
        <v>#DIV/0!</v>
      </c>
      <c r="J12" s="381" t="e">
        <f t="shared" si="0"/>
        <v>#DIV/0!</v>
      </c>
      <c r="K12" s="382" t="e">
        <f t="shared" si="0"/>
        <v>#DIV/0!</v>
      </c>
      <c r="L12" s="383" t="e">
        <f t="shared" si="0"/>
        <v>#DIV/0!</v>
      </c>
      <c r="M12" s="381" t="e">
        <f t="shared" si="0"/>
        <v>#DIV/0!</v>
      </c>
      <c r="N12" s="382" t="e">
        <f t="shared" si="0"/>
        <v>#DIV/0!</v>
      </c>
      <c r="O12" s="383" t="e">
        <f t="shared" si="0"/>
        <v>#DIV/0!</v>
      </c>
      <c r="Q12" t="s">
        <v>618</v>
      </c>
    </row>
    <row r="13" spans="1:34" x14ac:dyDescent="0.25">
      <c r="D13" s="18"/>
      <c r="E13" s="18"/>
      <c r="F13" s="18"/>
      <c r="G13" s="18"/>
      <c r="H13" s="18"/>
      <c r="I13" s="18"/>
      <c r="J13" s="18"/>
      <c r="K13" s="18"/>
      <c r="L13" s="18"/>
      <c r="M13" s="18"/>
      <c r="N13" s="18"/>
      <c r="O13" s="18"/>
    </row>
    <row r="14" spans="1:34" x14ac:dyDescent="0.25">
      <c r="A14" s="364" t="s">
        <v>619</v>
      </c>
      <c r="B14" s="364"/>
      <c r="C14" s="364"/>
      <c r="D14" s="384">
        <v>1</v>
      </c>
      <c r="E14" s="18"/>
      <c r="F14" s="18"/>
      <c r="G14" s="384">
        <v>4</v>
      </c>
      <c r="H14" s="18"/>
      <c r="I14" s="18"/>
      <c r="J14" s="384">
        <v>7</v>
      </c>
      <c r="K14" s="384">
        <v>8</v>
      </c>
      <c r="L14" s="384">
        <v>9</v>
      </c>
      <c r="M14" s="384">
        <v>10</v>
      </c>
      <c r="N14" s="384">
        <v>11</v>
      </c>
      <c r="O14" s="384">
        <v>12</v>
      </c>
    </row>
    <row r="15" spans="1:34" ht="18" x14ac:dyDescent="0.35">
      <c r="A15" s="366" t="s">
        <v>617</v>
      </c>
      <c r="B15" s="366" t="s">
        <v>1032</v>
      </c>
      <c r="C15" s="366" t="s">
        <v>481</v>
      </c>
      <c r="D15" s="385" t="e">
        <f>D12</f>
        <v>#N/A</v>
      </c>
      <c r="E15" s="18"/>
      <c r="F15" s="18"/>
      <c r="G15" s="385" t="e">
        <f>G12</f>
        <v>#DIV/0!</v>
      </c>
      <c r="H15" s="18"/>
      <c r="I15" s="18"/>
      <c r="J15" s="385" t="e">
        <f t="shared" ref="J15:O15" si="1">J12</f>
        <v>#DIV/0!</v>
      </c>
      <c r="K15" s="385" t="e">
        <f t="shared" si="1"/>
        <v>#DIV/0!</v>
      </c>
      <c r="L15" s="385" t="e">
        <f t="shared" si="1"/>
        <v>#DIV/0!</v>
      </c>
      <c r="M15" s="385" t="e">
        <f t="shared" si="1"/>
        <v>#DIV/0!</v>
      </c>
      <c r="N15" s="385" t="e">
        <f t="shared" si="1"/>
        <v>#DIV/0!</v>
      </c>
      <c r="O15" s="385" t="e">
        <f t="shared" si="1"/>
        <v>#DIV/0!</v>
      </c>
      <c r="Q15" t="s">
        <v>620</v>
      </c>
    </row>
    <row r="16" spans="1:34" ht="18" x14ac:dyDescent="0.35">
      <c r="A16" s="366" t="s">
        <v>621</v>
      </c>
      <c r="B16" s="366" t="s">
        <v>1032</v>
      </c>
      <c r="C16" s="366" t="s">
        <v>622</v>
      </c>
      <c r="D16" s="386" t="e">
        <f>IF(D15=0,"",H12+I12)</f>
        <v>#N/A</v>
      </c>
      <c r="E16" s="18"/>
      <c r="F16" s="18"/>
      <c r="G16" s="386" t="e">
        <f>IF(G15=0,"",E12+F12)</f>
        <v>#DIV/0!</v>
      </c>
      <c r="H16" s="18"/>
      <c r="I16" s="18"/>
      <c r="J16" s="387" t="e">
        <f>IF(J15=0,"",VLOOKUP(TWSC!J14,'TWSC-CALCS'!$J$22:$M$25,TWSC!E11+1,FALSE))</f>
        <v>#DIV/0!</v>
      </c>
      <c r="K16" s="386" t="e">
        <f>IF(K15=0,"",VLOOKUP(TWSC!K14,'TWSC-CALCS'!$J$22:$M$25,1+TWSC!K11,FALSE))</f>
        <v>#DIV/0!</v>
      </c>
      <c r="L16" s="386" t="e">
        <f>IF(L15=0,0.01,0.5*F12+IF(E11=1,E12,0.5*E12))</f>
        <v>#DIV/0!</v>
      </c>
      <c r="M16" s="387" t="e">
        <f>IF(M15=0,"",VLOOKUP(M14,'TWSC-CALCS'!$J$22:$M$25,H11+1,FALSE))</f>
        <v>#DIV/0!</v>
      </c>
      <c r="N16" s="386" t="e">
        <f>IF(N15=0,"",VLOOKUP(N14,'TWSC-CALCS'!$J$22:$M$25,N11+1,FALSE))</f>
        <v>#DIV/0!</v>
      </c>
      <c r="O16" s="386" t="e">
        <f>IF(O15=0,"",0.5*I12+IF(H11=1,H12,0.5*H12))</f>
        <v>#DIV/0!</v>
      </c>
      <c r="Q16" t="s">
        <v>623</v>
      </c>
    </row>
    <row r="17" spans="1:34" ht="18" x14ac:dyDescent="0.35">
      <c r="A17" s="366" t="s">
        <v>624</v>
      </c>
      <c r="B17" s="366" t="s">
        <v>705</v>
      </c>
      <c r="C17" s="366" t="s">
        <v>625</v>
      </c>
      <c r="D17" s="388" t="e">
        <f>IF(D15=0,"",VLOOKUP(D14,'TWSC-CALCS'!$D$7:$G$14,TWSC!E11+1,FALSE)+1*$D$6)</f>
        <v>#N/A</v>
      </c>
      <c r="E17" s="308"/>
      <c r="F17" s="308"/>
      <c r="G17" s="388" t="e">
        <f>IF(G15=0,"",VLOOKUP(G14,'TWSC-CALCS'!$D$7:$G$14,TWSC!H11+1,FALSE)+1*$D$6)</f>
        <v>#DIV/0!</v>
      </c>
      <c r="H17" s="308"/>
      <c r="I17" s="308"/>
      <c r="J17" s="388" t="e">
        <f>IF(J15=0,"",VLOOKUP(J14,'TWSC-CALCS'!$D$7:$G$14,TWSC!E11+1,FALSE)+1*$D$6)</f>
        <v>#DIV/0!</v>
      </c>
      <c r="K17" s="388" t="e">
        <f>IF(K15=0,"",VLOOKUP(K14,'TWSC-CALCS'!$D$7:$G$14,TWSC!E11+1,FALSE)+1*$D$6)</f>
        <v>#DIV/0!</v>
      </c>
      <c r="L17" s="388" t="e">
        <f>IF(L15="","",VLOOKUP(L14,'TWSC-CALCS'!$D$7:$G$14,TWSC!E11+1,FALSE)+D6)</f>
        <v>#DIV/0!</v>
      </c>
      <c r="M17" s="388" t="e">
        <f>IF(M15=0,"",VLOOKUP(M14,'TWSC-CALCS'!$D$7:$G$14,TWSC!H11+1,FALSE)+1*$D$6)</f>
        <v>#DIV/0!</v>
      </c>
      <c r="N17" s="388" t="e">
        <f>IF(N15=0,"",VLOOKUP(N14,'TWSC-CALCS'!$D$7:$G$14,TWSC!H11+1,FALSE)+1*$D$6)</f>
        <v>#DIV/0!</v>
      </c>
      <c r="O17" s="388" t="e">
        <f>IF(O15=0,"",VLOOKUP(O14,'TWSC-CALCS'!$D$7:$G$14,TWSC!E11+1,FALSE)+1*$D$6)</f>
        <v>#DIV/0!</v>
      </c>
      <c r="Q17" t="s">
        <v>626</v>
      </c>
      <c r="AH17" t="s">
        <v>627</v>
      </c>
    </row>
    <row r="18" spans="1:34" ht="18" x14ac:dyDescent="0.35">
      <c r="A18" s="366" t="s">
        <v>628</v>
      </c>
      <c r="B18" s="366" t="s">
        <v>705</v>
      </c>
      <c r="C18" s="366" t="s">
        <v>629</v>
      </c>
      <c r="D18" s="388" t="e">
        <f>IF(D15=0,"",VLOOKUP(D14,'TWSC-CALCS'!$D$20:$G$27,TWSC!E11+1,FALSE)+0.9*$D$6)</f>
        <v>#N/A</v>
      </c>
      <c r="E18" s="308"/>
      <c r="F18" s="308"/>
      <c r="G18" s="388" t="e">
        <f>IF(G15=0,"",VLOOKUP(G14,'TWSC-CALCS'!$D$20:$G$27,TWSC!H11+1,FALSE)+0.9*$D$6)</f>
        <v>#DIV/0!</v>
      </c>
      <c r="H18" s="308"/>
      <c r="I18" s="308"/>
      <c r="J18" s="388" t="e">
        <f>IF(J15=0,"",VLOOKUP(J14,'TWSC-CALCS'!$D$20:$G$27,TWSC!E11+1,FALSE)+0.9*$D$6)</f>
        <v>#DIV/0!</v>
      </c>
      <c r="K18" s="388" t="str">
        <f>IF(K11=0,"",VLOOKUP(K14,'TWSC-CALCS'!$D$20:$G$27,TWSC!D11+1,FALSE)+0.9*$D$6)</f>
        <v/>
      </c>
      <c r="L18" s="388" t="e">
        <f>IF(L15=0,"",VLOOKUP(L14,'TWSC-CALCS'!$D$20:$G$27,TWSC!E11+1,FALSE)+0.9*$D$6)</f>
        <v>#DIV/0!</v>
      </c>
      <c r="M18" s="388" t="e">
        <f>IF(M15=0,"",VLOOKUP(M14,'TWSC-CALCS'!$D$20:$G$27,TWSC!H11+1,FALSE)+0.9*$D$6)</f>
        <v>#DIV/0!</v>
      </c>
      <c r="N18" s="388" t="e">
        <f>IF(N15=0,"",VLOOKUP(N14,'TWSC-CALCS'!$D$20:$G$27,TWSC!G11+1,FALSE)+0.9*$D$6)</f>
        <v>#DIV/0!</v>
      </c>
      <c r="O18" s="388" t="e">
        <f>IF(O15=0,"",VLOOKUP(O14,'TWSC-CALCS'!$D$20:$G$27,TWSC!H11+1,FALSE)+0.9*$D$6)</f>
        <v>#DIV/0!</v>
      </c>
      <c r="Q18" t="s">
        <v>630</v>
      </c>
      <c r="AH18" t="s">
        <v>631</v>
      </c>
    </row>
    <row r="19" spans="1:34" ht="18" x14ac:dyDescent="0.35">
      <c r="A19" s="366" t="s">
        <v>632</v>
      </c>
      <c r="B19" s="366" t="s">
        <v>1032</v>
      </c>
      <c r="C19" s="366" t="s">
        <v>633</v>
      </c>
      <c r="D19" s="385" t="e">
        <f>D16*EXP(-D16/3600*D17)/(1-EXP(-D16/3600*D18))</f>
        <v>#N/A</v>
      </c>
      <c r="E19" s="18"/>
      <c r="F19" s="18"/>
      <c r="G19" s="385" t="e">
        <f>IF(G15=0,0,G16*EXP(-G16/3600*G17)/(1-EXP(-G16/3600*G18)))</f>
        <v>#DIV/0!</v>
      </c>
      <c r="H19" s="18"/>
      <c r="I19" s="18"/>
      <c r="J19" s="389">
        <f>IF(J10=0,0,J16*EXP(-J16/3600*J17)/(1-EXP(-J16/3500*J18)))</f>
        <v>0</v>
      </c>
      <c r="K19" s="389" t="e">
        <f>MAX(0.01,IF(K11=0,"",K16*EXP(-K16/3600*K17)/(1-EXP(-K16/3600*K18))))</f>
        <v>#VALUE!</v>
      </c>
      <c r="L19" s="385" t="e">
        <f>IF(L15=0,0.01,L16*EXP(-L16/3600*L17)/(1-EXP(-L16/3600*L18)))</f>
        <v>#DIV/0!</v>
      </c>
      <c r="M19" s="389" t="e">
        <f>MAX(0.01,M16*EXP(-M16/3600*M17)/(1-EXP(-M16/3500*M18)))</f>
        <v>#DIV/0!</v>
      </c>
      <c r="N19" s="389" t="e">
        <f>MAX(0.01,IF(N15=0,"",N16*EXP(-N16/3600*N17)/(1-EXP(-N16/3600*N18))))</f>
        <v>#DIV/0!</v>
      </c>
      <c r="O19" s="385" t="e">
        <f>MAX(0.01,O16*EXP(-O16/3600*O17)/(1-EXP(-O16/3600*O18)))</f>
        <v>#DIV/0!</v>
      </c>
      <c r="Q19" t="s">
        <v>634</v>
      </c>
      <c r="AH19" t="s">
        <v>635</v>
      </c>
    </row>
    <row r="20" spans="1:34" ht="18" x14ac:dyDescent="0.35">
      <c r="A20" s="366" t="s">
        <v>1188</v>
      </c>
      <c r="B20" s="366"/>
      <c r="C20" s="366" t="s">
        <v>636</v>
      </c>
      <c r="D20" s="390" t="e">
        <f>IF(D15=0,"",IF(D15/D19&gt;1,1,1-D15/D19))</f>
        <v>#N/A</v>
      </c>
      <c r="E20" s="18"/>
      <c r="F20" s="18"/>
      <c r="G20" s="390" t="e">
        <f>IF(G15=0,"",IF(G15/G19&gt;1,1,1-G15/G19))</f>
        <v>#DIV/0!</v>
      </c>
      <c r="H20" s="18"/>
      <c r="I20" s="18"/>
      <c r="J20" s="390" t="e">
        <f>MAX(0.01,IF(J15=0,"",IF(J15/J19&gt;1,1,1-J15/J19)))</f>
        <v>#DIV/0!</v>
      </c>
      <c r="K20" s="390" t="e">
        <f t="shared" ref="K20:O20" si="2">IF(K15=0,"",IF(K15/K19&gt;1,1,1-K15/K19))</f>
        <v>#DIV/0!</v>
      </c>
      <c r="L20" s="390" t="e">
        <f>MAX(0.01,IF(L15=0,"",IF(L15/L19&gt;1,1,1-L15/L19)))</f>
        <v>#DIV/0!</v>
      </c>
      <c r="M20" s="390" t="e">
        <f>MAX(0.01,IF(M15=0,"",IF(M15/M19&gt;1,1,1-M15/M19)))</f>
        <v>#DIV/0!</v>
      </c>
      <c r="N20" s="390" t="e">
        <f t="shared" si="2"/>
        <v>#DIV/0!</v>
      </c>
      <c r="O20" s="390" t="e">
        <f t="shared" si="2"/>
        <v>#DIV/0!</v>
      </c>
      <c r="Q20" t="s">
        <v>637</v>
      </c>
    </row>
    <row r="21" spans="1:34" ht="18" x14ac:dyDescent="0.35">
      <c r="A21" s="366"/>
      <c r="B21" s="366"/>
      <c r="C21" s="366" t="s">
        <v>638</v>
      </c>
      <c r="D21" s="267"/>
      <c r="E21" s="18"/>
      <c r="F21" s="18"/>
      <c r="G21" s="267"/>
      <c r="H21" s="18"/>
      <c r="I21" s="18"/>
      <c r="J21" s="390" t="e">
        <f>MAX(0.01,IF(J10=0,"",'TWSC-CALCS'!T32))</f>
        <v>#VALUE!</v>
      </c>
      <c r="K21" s="390" t="e">
        <f>MAX(0.01,IF(K15=0,0.01,MAX(0,(1-$D$23)*(1-$G$23))))</f>
        <v>#DIV/0!</v>
      </c>
      <c r="L21" s="390" t="e">
        <f>MAX(0.01,IF(L15=0,0.01,MAX(0,(1-$D$23)*(1-$G$23))))</f>
        <v>#DIV/0!</v>
      </c>
      <c r="M21" s="390">
        <f>IF(M10=0,0.01,'TWSC-CALCS'!T33)</f>
        <v>0.01</v>
      </c>
      <c r="N21" s="390" t="e">
        <f>MAX(0.01,IF(N15=0,0.01,(1-D23)*(1-G23)))</f>
        <v>#DIV/0!</v>
      </c>
      <c r="O21" s="267"/>
      <c r="Q21" t="s">
        <v>639</v>
      </c>
      <c r="AH21" t="s">
        <v>640</v>
      </c>
    </row>
    <row r="22" spans="1:34" ht="18" x14ac:dyDescent="0.35">
      <c r="A22" s="366" t="s">
        <v>641</v>
      </c>
      <c r="B22" s="366" t="s">
        <v>1032</v>
      </c>
      <c r="C22" s="366" t="s">
        <v>642</v>
      </c>
      <c r="D22" s="385" t="e">
        <f>D19</f>
        <v>#N/A</v>
      </c>
      <c r="E22" s="18"/>
      <c r="F22" s="18"/>
      <c r="G22" s="385" t="e">
        <f>G19</f>
        <v>#DIV/0!</v>
      </c>
      <c r="H22" s="18"/>
      <c r="I22" s="18"/>
      <c r="J22" s="391" t="e">
        <f>IF(J15=0,"",J21*J19)</f>
        <v>#DIV/0!</v>
      </c>
      <c r="K22" s="392" t="e">
        <f>IF(K15=0,"",K21*K19)</f>
        <v>#DIV/0!</v>
      </c>
      <c r="L22" s="393" t="e">
        <f>IF(L15=0,"",L19)</f>
        <v>#DIV/0!</v>
      </c>
      <c r="M22" s="392" t="e">
        <f>IF(M15=0,"",M21*M19)</f>
        <v>#DIV/0!</v>
      </c>
      <c r="N22" s="392" t="e">
        <f>IF(N15=0,"",N21*N19)</f>
        <v>#DIV/0!</v>
      </c>
      <c r="O22" s="391" t="e">
        <f>O19</f>
        <v>#DIV/0!</v>
      </c>
      <c r="Q22" t="s">
        <v>643</v>
      </c>
    </row>
    <row r="23" spans="1:34" ht="18" x14ac:dyDescent="0.35">
      <c r="A23" s="366" t="s">
        <v>644</v>
      </c>
      <c r="B23" s="366"/>
      <c r="C23" s="366" t="s">
        <v>645</v>
      </c>
      <c r="D23" s="390" t="e">
        <f>IF(D15=0,"",IF(D15/D22&gt;1,1,D15/D22))</f>
        <v>#N/A</v>
      </c>
      <c r="E23" s="18"/>
      <c r="F23" s="18"/>
      <c r="G23" s="390" t="e">
        <f>IF(G15=0,"",IF(G15/G22&gt;1,1,G15/G22))</f>
        <v>#DIV/0!</v>
      </c>
      <c r="H23" s="18"/>
      <c r="I23" s="18"/>
      <c r="J23" s="394" t="e">
        <f>J15/J22</f>
        <v>#DIV/0!</v>
      </c>
      <c r="K23" s="390" t="e">
        <f>IF(K15=0,"",IF(K15/K22&gt;1,1,K15/K22))</f>
        <v>#DIV/0!</v>
      </c>
      <c r="L23" s="390" t="e">
        <f>L15/L22</f>
        <v>#DIV/0!</v>
      </c>
      <c r="M23" s="390" t="e">
        <f>IF(M15=0,"",IF(M15/M22&gt;1,1,M15/M22))</f>
        <v>#DIV/0!</v>
      </c>
      <c r="N23" s="390" t="e">
        <f>IF(N15=0,"",IF(N15/N22&gt;1,1,N15/N22))</f>
        <v>#DIV/0!</v>
      </c>
      <c r="O23" s="390" t="e">
        <f>O15/O22</f>
        <v>#DIV/0!</v>
      </c>
      <c r="Q23" t="s">
        <v>646</v>
      </c>
    </row>
    <row r="24" spans="1:34" ht="18" x14ac:dyDescent="0.35">
      <c r="A24" s="366" t="s">
        <v>647</v>
      </c>
      <c r="B24" s="366" t="s">
        <v>1032</v>
      </c>
      <c r="C24" s="358" t="s">
        <v>648</v>
      </c>
      <c r="D24" s="20"/>
      <c r="E24" s="18"/>
      <c r="F24" s="18"/>
      <c r="G24" s="20"/>
      <c r="H24" s="18"/>
      <c r="I24" s="18"/>
      <c r="J24" s="395" t="str">
        <f>IF(AND(J10&gt;0,J11&gt;0)=TRUE,J22,"")</f>
        <v/>
      </c>
      <c r="K24" s="386" t="e">
        <f>IF(K15=0,0,((1-MIN(1,J11))*J15+K15+(1-MIN(1,L11))*L15))/((1-MIN(1,J11))*J23+K23+(1-MIN(1,L11))*L23)</f>
        <v>#DIV/0!</v>
      </c>
      <c r="L24" s="386" t="str">
        <f>IF(AND(L10&gt;0,L11&gt;0)=TRUE,L22,"")</f>
        <v/>
      </c>
      <c r="M24" s="386" t="str">
        <f>IF(AND(M10&gt;0,M11&gt;0)=TRUE,M22,"")</f>
        <v/>
      </c>
      <c r="N24" s="386" t="e">
        <f>IF(N15=0,0,((1-MIN(1,M11))*M15+N15+(1-MIN(1,O11))*O15))/((1-MIN(1,M11))*M23+N23+(1-MIN(1,O11))*O23)</f>
        <v>#DIV/0!</v>
      </c>
      <c r="O24" s="386" t="str">
        <f>IF(AND(O10&gt;0,O11&gt;0)=TRUE,O22,"")</f>
        <v/>
      </c>
      <c r="Q24" t="s">
        <v>649</v>
      </c>
      <c r="AH24" t="s">
        <v>650</v>
      </c>
    </row>
    <row r="25" spans="1:34" ht="18" x14ac:dyDescent="0.35">
      <c r="A25" s="366" t="s">
        <v>651</v>
      </c>
      <c r="B25" s="366"/>
      <c r="C25" s="366" t="s">
        <v>652</v>
      </c>
      <c r="D25" s="18"/>
      <c r="E25" s="18"/>
      <c r="F25" s="18"/>
      <c r="G25" s="18"/>
      <c r="H25" s="18"/>
      <c r="I25" s="18"/>
      <c r="J25" s="394" t="str">
        <f>IF(J11=0,"",J15/J22)</f>
        <v/>
      </c>
      <c r="K25" s="390" t="e">
        <f>IF(K15=0,0,((1-J11)*J15+K15+(1-L11)*L15)/K24)</f>
        <v>#DIV/0!</v>
      </c>
      <c r="L25" s="390" t="str">
        <f>IF(L11=0,"",L15/L22)</f>
        <v/>
      </c>
      <c r="M25" s="390" t="str">
        <f>IF(M11=0,"",M15/M22)</f>
        <v/>
      </c>
      <c r="N25" s="390">
        <f>IF(N11=0,0,((1-MIN(1,M11))*M15+N15+(1-MIN(1,O11))*O15)/N24)</f>
        <v>0</v>
      </c>
      <c r="O25" s="390" t="str">
        <f>IF(O11=0,"",O15/O22)</f>
        <v/>
      </c>
      <c r="Q25" t="s">
        <v>653</v>
      </c>
      <c r="AH25" t="s">
        <v>654</v>
      </c>
    </row>
    <row r="26" spans="1:34" x14ac:dyDescent="0.25">
      <c r="A26" s="366" t="s">
        <v>655</v>
      </c>
      <c r="B26" s="366" t="s">
        <v>705</v>
      </c>
      <c r="C26" s="366" t="s">
        <v>497</v>
      </c>
      <c r="D26" s="388">
        <f>VLOOKUP(D14,'TWSC-CALCS'!$J$7:$N$14,5,FALSE)</f>
        <v>0</v>
      </c>
      <c r="E26" s="18"/>
      <c r="F26" s="18"/>
      <c r="G26" s="388">
        <f>VLOOKUP(G14,'TWSC-CALCS'!$J$7:$N$14,5,FALSE)</f>
        <v>0</v>
      </c>
      <c r="H26" s="18"/>
      <c r="I26" s="18"/>
      <c r="J26" s="396" t="str">
        <f>IF(J25="","",VLOOKUP(TWSC!J14,'TWSC-CALCS'!J7:N14,5,FALSE))</f>
        <v/>
      </c>
      <c r="K26" s="397" t="e">
        <f>IF(K15=0,0,'TWSC-CALCS'!N10)</f>
        <v>#DIV/0!</v>
      </c>
      <c r="L26" s="388" t="str">
        <f>IF(L11=0,"",VLOOKUP(L14,'TWSC-CALCS'!$J$7:$N$14,5,FALSE))</f>
        <v/>
      </c>
      <c r="M26" s="386" t="str">
        <f>IF(M11=0,"",VLOOKUP(M14,'TWSC-CALCS'!$J$7:$N$14,5,FALSE))</f>
        <v/>
      </c>
      <c r="N26" s="397" t="e">
        <f>IF(N15=0,0,'TWSC-CALCS'!N13)</f>
        <v>#DIV/0!</v>
      </c>
      <c r="O26" s="388" t="str">
        <f>IF(O11=0,"",VLOOKUP(O14,'TWSC-CALCS'!$J$7:$N$14,5,FALSE))</f>
        <v/>
      </c>
      <c r="Q26" t="s">
        <v>656</v>
      </c>
      <c r="AH26" t="s">
        <v>657</v>
      </c>
    </row>
    <row r="27" spans="1:34" ht="18" x14ac:dyDescent="0.35">
      <c r="A27" s="366" t="s">
        <v>658</v>
      </c>
      <c r="B27" s="366" t="s">
        <v>705</v>
      </c>
      <c r="C27" s="366" t="s">
        <v>659</v>
      </c>
      <c r="J27" s="1644"/>
      <c r="K27" s="1645"/>
      <c r="L27" s="1646"/>
      <c r="M27" s="1644"/>
      <c r="N27" s="1645"/>
      <c r="O27" s="1646"/>
      <c r="Q27" t="s">
        <v>660</v>
      </c>
      <c r="AH27" t="s">
        <v>661</v>
      </c>
    </row>
    <row r="28" spans="1:34" ht="15.75" x14ac:dyDescent="0.25">
      <c r="B28" s="1647" t="s">
        <v>686</v>
      </c>
      <c r="C28" s="1648"/>
      <c r="D28" s="1648"/>
      <c r="E28" t="s">
        <v>709</v>
      </c>
      <c r="G28" s="398" t="e">
        <f>'TWSC-CALCS'!T16</f>
        <v>#N/A</v>
      </c>
      <c r="H28" t="s">
        <v>708</v>
      </c>
    </row>
    <row r="29" spans="1:34" x14ac:dyDescent="0.25">
      <c r="E29" t="s">
        <v>710</v>
      </c>
      <c r="G29" s="398" t="e">
        <f>'TWSC-CALCS'!T17</f>
        <v>#N/A</v>
      </c>
      <c r="H29" t="s">
        <v>708</v>
      </c>
      <c r="J29" t="s">
        <v>885</v>
      </c>
      <c r="K29" t="e">
        <f>MAX(J15/J19,K15/K19,L15/L19,M15/M19,N15/N19,O15/O19)</f>
        <v>#DIV/0!</v>
      </c>
      <c r="M29" s="399"/>
    </row>
    <row r="30" spans="1:34" x14ac:dyDescent="0.25">
      <c r="A30" s="15" t="s">
        <v>662</v>
      </c>
      <c r="J30" s="399"/>
      <c r="M30" s="400"/>
    </row>
    <row r="31" spans="1:34" x14ac:dyDescent="0.25">
      <c r="A31" t="s">
        <v>663</v>
      </c>
      <c r="K31" s="400"/>
    </row>
    <row r="32" spans="1:34" x14ac:dyDescent="0.25">
      <c r="A32" t="s">
        <v>664</v>
      </c>
    </row>
    <row r="33" spans="1:1" x14ac:dyDescent="0.25">
      <c r="A33" t="s">
        <v>665</v>
      </c>
    </row>
    <row r="34" spans="1:1" x14ac:dyDescent="0.25">
      <c r="A34" t="s">
        <v>666</v>
      </c>
    </row>
    <row r="35" spans="1:1" x14ac:dyDescent="0.25">
      <c r="A35" t="s">
        <v>667</v>
      </c>
    </row>
    <row r="36" spans="1:1" x14ac:dyDescent="0.25">
      <c r="A36" t="s">
        <v>668</v>
      </c>
    </row>
    <row r="38" spans="1:1" x14ac:dyDescent="0.25">
      <c r="A38" s="15" t="s">
        <v>669</v>
      </c>
    </row>
    <row r="39" spans="1:1" x14ac:dyDescent="0.25">
      <c r="A39" t="s">
        <v>670</v>
      </c>
    </row>
    <row r="40" spans="1:1" x14ac:dyDescent="0.25">
      <c r="A40" t="s">
        <v>671</v>
      </c>
    </row>
    <row r="42" spans="1:1" x14ac:dyDescent="0.25">
      <c r="A42" s="15" t="s">
        <v>672</v>
      </c>
    </row>
    <row r="43" spans="1:1" x14ac:dyDescent="0.25">
      <c r="A43" t="s">
        <v>673</v>
      </c>
    </row>
    <row r="44" spans="1:1" x14ac:dyDescent="0.25">
      <c r="A44" t="s">
        <v>674</v>
      </c>
    </row>
    <row r="45" spans="1:1" x14ac:dyDescent="0.25">
      <c r="A45" t="s">
        <v>675</v>
      </c>
    </row>
    <row r="46" spans="1:1" x14ac:dyDescent="0.25">
      <c r="A46" t="s">
        <v>676</v>
      </c>
    </row>
  </sheetData>
  <sheetProtection algorithmName="SHA-512" hashValue="W823nxHa26TX5huVHUy3ZoFS3PrYFW69ovW1z0iAHMh989cfLMj22qXHgzZ+swz2WDUVtH2kwqQ00kO9530H8w==" saltValue="AKj9YDC+BSMqziwwq2yxcA==" spinCount="100000" sheet="1" objects="1" scenarios="1"/>
  <mergeCells count="5">
    <mergeCell ref="J27:L27"/>
    <mergeCell ref="M27:O27"/>
    <mergeCell ref="B28:D28"/>
    <mergeCell ref="F1:L1"/>
    <mergeCell ref="A1:D1"/>
  </mergeCells>
  <conditionalFormatting sqref="J23:O23">
    <cfRule type="cellIs" dxfId="95" priority="1" operator="greaterThan">
      <formula>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2:U35"/>
  <sheetViews>
    <sheetView topLeftCell="A4" workbookViewId="0">
      <selection activeCell="W22" sqref="W22"/>
    </sheetView>
  </sheetViews>
  <sheetFormatPr defaultColWidth="8.85546875" defaultRowHeight="15" x14ac:dyDescent="0.25"/>
  <cols>
    <col min="4" max="4" width="12.42578125" customWidth="1"/>
    <col min="5" max="5" width="11.42578125" customWidth="1"/>
    <col min="10" max="11" width="11.42578125" customWidth="1"/>
    <col min="13" max="14" width="9.42578125" bestFit="1" customWidth="1"/>
    <col min="18" max="18" width="12" customWidth="1"/>
  </cols>
  <sheetData>
    <row r="2" spans="4:21" x14ac:dyDescent="0.25">
      <c r="F2" s="15" t="s">
        <v>687</v>
      </c>
    </row>
    <row r="3" spans="4:21" ht="15.75" thickBot="1" x14ac:dyDescent="0.3">
      <c r="F3" s="15"/>
    </row>
    <row r="4" spans="4:21" ht="15.75" thickBot="1" x14ac:dyDescent="0.3">
      <c r="D4" s="16"/>
      <c r="E4" s="1653" t="s">
        <v>689</v>
      </c>
      <c r="F4" s="1653"/>
      <c r="G4" s="1654"/>
      <c r="J4" s="16"/>
      <c r="K4" s="63"/>
      <c r="L4" s="62" t="s">
        <v>884</v>
      </c>
      <c r="M4" s="63"/>
      <c r="N4" s="63"/>
      <c r="O4" s="63"/>
      <c r="P4" s="63"/>
      <c r="Q4" s="63"/>
      <c r="R4" s="63"/>
      <c r="S4" s="63"/>
      <c r="T4" s="63"/>
      <c r="U4" s="64"/>
    </row>
    <row r="5" spans="4:21" x14ac:dyDescent="0.25">
      <c r="D5" s="42"/>
      <c r="E5" s="42"/>
      <c r="F5" s="42" t="s">
        <v>688</v>
      </c>
      <c r="G5" s="42"/>
      <c r="J5" s="42"/>
      <c r="K5" s="42"/>
      <c r="L5" s="42"/>
      <c r="M5" s="42"/>
      <c r="N5" s="42" t="s">
        <v>504</v>
      </c>
      <c r="O5" s="42" t="s">
        <v>875</v>
      </c>
      <c r="P5" s="42" t="s">
        <v>875</v>
      </c>
      <c r="Q5" s="42" t="s">
        <v>703</v>
      </c>
      <c r="R5" s="42" t="s">
        <v>706</v>
      </c>
      <c r="S5" s="42"/>
      <c r="T5" s="42"/>
      <c r="U5" s="42"/>
    </row>
    <row r="6" spans="4:21" x14ac:dyDescent="0.25">
      <c r="D6" s="42" t="s">
        <v>8</v>
      </c>
      <c r="E6" s="42">
        <v>1</v>
      </c>
      <c r="F6" s="42">
        <v>2</v>
      </c>
      <c r="G6" s="42">
        <v>3</v>
      </c>
      <c r="J6" s="42" t="s">
        <v>8</v>
      </c>
      <c r="K6" s="57" t="s">
        <v>615</v>
      </c>
      <c r="L6" s="57" t="s">
        <v>691</v>
      </c>
      <c r="M6" s="57" t="s">
        <v>495</v>
      </c>
      <c r="N6" s="57" t="s">
        <v>705</v>
      </c>
      <c r="O6" s="57" t="s">
        <v>876</v>
      </c>
      <c r="P6" s="57" t="s">
        <v>495</v>
      </c>
      <c r="Q6" s="57" t="s">
        <v>704</v>
      </c>
      <c r="R6" s="57" t="s">
        <v>707</v>
      </c>
      <c r="S6" s="57"/>
      <c r="T6" s="42"/>
      <c r="U6" s="42"/>
    </row>
    <row r="7" spans="4:21" x14ac:dyDescent="0.25">
      <c r="D7" s="42">
        <v>1</v>
      </c>
      <c r="E7" s="42">
        <v>4.0999999999999996</v>
      </c>
      <c r="F7" s="42">
        <v>4.0999999999999996</v>
      </c>
      <c r="G7" s="42">
        <v>5.3</v>
      </c>
      <c r="J7" s="42">
        <v>1</v>
      </c>
      <c r="K7" s="57">
        <f>TWSC!D11</f>
        <v>0</v>
      </c>
      <c r="L7" s="58" t="e">
        <f>TWSC!D22</f>
        <v>#N/A</v>
      </c>
      <c r="M7" s="42" t="e">
        <f>TWSC!D23</f>
        <v>#N/A</v>
      </c>
      <c r="N7" s="59">
        <f>IF(TWSC!D11=0,0,3600/O7+225*(P7-1+SQRT((P7-1)^2+32*P7/L7))+5)</f>
        <v>0</v>
      </c>
      <c r="O7" s="75" t="e">
        <f>TWSC!D22</f>
        <v>#N/A</v>
      </c>
      <c r="P7" s="59" t="e">
        <f>TWSC!D15/'TWSC-CALCS'!O7</f>
        <v>#N/A</v>
      </c>
      <c r="Q7" s="58" t="e">
        <f>TWSC!D15</f>
        <v>#N/A</v>
      </c>
      <c r="R7" s="60" t="e">
        <f>Q7*N7</f>
        <v>#N/A</v>
      </c>
      <c r="S7" s="60"/>
      <c r="T7" s="42"/>
      <c r="U7" s="42"/>
    </row>
    <row r="8" spans="4:21" x14ac:dyDescent="0.25">
      <c r="D8" s="42">
        <v>4</v>
      </c>
      <c r="E8" s="42">
        <v>4.0999999999999996</v>
      </c>
      <c r="F8" s="42">
        <v>4.0999999999999996</v>
      </c>
      <c r="G8" s="42">
        <v>5.3</v>
      </c>
      <c r="J8" s="42">
        <v>4</v>
      </c>
      <c r="K8" s="57">
        <f>TWSC!G11</f>
        <v>0</v>
      </c>
      <c r="L8" s="58" t="e">
        <f>TWSC!G22</f>
        <v>#DIV/0!</v>
      </c>
      <c r="M8" s="42" t="e">
        <f>TWSC!G23</f>
        <v>#DIV/0!</v>
      </c>
      <c r="N8" s="59">
        <f>IF(TWSC!G11=0,0,3600/O8+225*(P8-1+SQRT((P8-1)^2+32*P8/L8))+5)</f>
        <v>0</v>
      </c>
      <c r="O8" s="75" t="e">
        <f>TWSC!G22</f>
        <v>#DIV/0!</v>
      </c>
      <c r="P8" s="76" t="e">
        <f>TWSC!G15/'TWSC-CALCS'!O8</f>
        <v>#DIV/0!</v>
      </c>
      <c r="Q8" s="58" t="e">
        <f>TWSC!G15</f>
        <v>#DIV/0!</v>
      </c>
      <c r="R8" s="60" t="e">
        <f>N8*Q8</f>
        <v>#DIV/0!</v>
      </c>
      <c r="S8" s="60"/>
      <c r="T8" s="42"/>
      <c r="U8" s="42"/>
    </row>
    <row r="9" spans="4:21" x14ac:dyDescent="0.25">
      <c r="D9" s="42">
        <v>7</v>
      </c>
      <c r="E9" s="42">
        <v>7.1</v>
      </c>
      <c r="F9" s="42">
        <v>7.5</v>
      </c>
      <c r="G9" s="42">
        <v>6.4</v>
      </c>
      <c r="J9" s="42">
        <v>7</v>
      </c>
      <c r="K9" s="57">
        <f>TWSC!J11</f>
        <v>0</v>
      </c>
      <c r="L9" s="58" t="e">
        <f>TWSC!J22</f>
        <v>#DIV/0!</v>
      </c>
      <c r="M9" s="42" t="e">
        <f>TWSC!J23</f>
        <v>#DIV/0!</v>
      </c>
      <c r="N9" s="59">
        <f>IF(TWSC!J11=0,0,3600/O9+225*(P9-1+SQRT((P9-1)^2+32*P9/L9)))</f>
        <v>0</v>
      </c>
      <c r="O9" s="75" t="e">
        <f>TWSC!J22</f>
        <v>#DIV/0!</v>
      </c>
      <c r="P9" s="59" t="e">
        <f>TWSC!J15/'TWSC-CALCS'!O9</f>
        <v>#DIV/0!</v>
      </c>
      <c r="Q9" s="58">
        <f>IF(TWSC!J11=0,0,TWSC!J12)</f>
        <v>0</v>
      </c>
      <c r="R9" s="60">
        <f>N9*Q9</f>
        <v>0</v>
      </c>
      <c r="S9" s="60"/>
      <c r="T9" s="42"/>
      <c r="U9" s="42"/>
    </row>
    <row r="10" spans="4:21" x14ac:dyDescent="0.25">
      <c r="D10" s="42">
        <v>8</v>
      </c>
      <c r="E10" s="42">
        <v>6.5</v>
      </c>
      <c r="F10" s="42">
        <v>6.5</v>
      </c>
      <c r="G10" s="42">
        <v>6.5</v>
      </c>
      <c r="J10" s="42">
        <v>8</v>
      </c>
      <c r="K10" s="57">
        <f>TWSC!K11</f>
        <v>0</v>
      </c>
      <c r="L10" s="58" t="e">
        <f>TWSC!K24</f>
        <v>#DIV/0!</v>
      </c>
      <c r="M10" s="42" t="e">
        <f>TWSC!K25</f>
        <v>#DIV/0!</v>
      </c>
      <c r="N10" s="59" t="e">
        <f>3600/O10+225*(P10-1+SQRT((P10-1)^2+32*P10/O10))+5</f>
        <v>#DIV/0!</v>
      </c>
      <c r="O10" s="75" t="e">
        <f>TWSC!K24</f>
        <v>#DIV/0!</v>
      </c>
      <c r="P10" s="59" t="e">
        <f>TWSC!K15/'TWSC-CALCS'!O10</f>
        <v>#DIV/0!</v>
      </c>
      <c r="Q10" s="58" t="e">
        <f>TWSC!K12+IF(TWSC!J11=0,TWSC!J15,0)+IF(TWSC!L11=0,TWSC!L15,0)</f>
        <v>#DIV/0!</v>
      </c>
      <c r="R10" s="60" t="e">
        <f>N10*Q10</f>
        <v>#DIV/0!</v>
      </c>
      <c r="S10" s="60"/>
      <c r="T10" s="42"/>
      <c r="U10" s="42"/>
    </row>
    <row r="11" spans="4:21" x14ac:dyDescent="0.25">
      <c r="D11" s="42">
        <v>9</v>
      </c>
      <c r="E11" s="42">
        <v>6.2</v>
      </c>
      <c r="F11" s="42">
        <v>6.9</v>
      </c>
      <c r="G11" s="42">
        <v>7.1</v>
      </c>
      <c r="J11" s="42">
        <v>9</v>
      </c>
      <c r="K11" s="57">
        <f>TWSC!L11</f>
        <v>0</v>
      </c>
      <c r="L11" s="58" t="e">
        <f>TWSC!L22</f>
        <v>#DIV/0!</v>
      </c>
      <c r="M11" s="42" t="e">
        <f>TWSC!L23</f>
        <v>#DIV/0!</v>
      </c>
      <c r="N11" s="59">
        <f>IF(TWSC!L11=0,0,3600/O11+225*(P11-1+SQRT((P11-1)^2+32*P11/L11)))</f>
        <v>0</v>
      </c>
      <c r="O11" s="75" t="e">
        <f>TWSC!L22</f>
        <v>#DIV/0!</v>
      </c>
      <c r="P11" s="59" t="e">
        <f>TWSC!L15/'TWSC-CALCS'!O11</f>
        <v>#DIV/0!</v>
      </c>
      <c r="Q11" s="58">
        <f>IF(TWSC!L11=0,0,TWSC!L12)</f>
        <v>0</v>
      </c>
      <c r="R11" s="60">
        <f>N11*Q11</f>
        <v>0</v>
      </c>
      <c r="S11" s="60"/>
      <c r="T11" s="42"/>
      <c r="U11" s="42"/>
    </row>
    <row r="12" spans="4:21" x14ac:dyDescent="0.25">
      <c r="D12" s="42">
        <v>10</v>
      </c>
      <c r="E12" s="42">
        <v>7.1</v>
      </c>
      <c r="F12" s="42">
        <v>7.5</v>
      </c>
      <c r="G12" s="42">
        <v>6.4</v>
      </c>
      <c r="J12" s="42">
        <v>10</v>
      </c>
      <c r="K12" s="57">
        <f>TWSC!M11</f>
        <v>0</v>
      </c>
      <c r="L12" s="58" t="e">
        <f>TWSC!M22</f>
        <v>#DIV/0!</v>
      </c>
      <c r="M12" s="42" t="e">
        <f>TWSC!M23</f>
        <v>#DIV/0!</v>
      </c>
      <c r="N12" s="75">
        <f>IF(TWSC!M11=0,0,3600/O12+225*(P12-1+SQRT((P12-1)^2+32*P12/O12)))</f>
        <v>0</v>
      </c>
      <c r="O12" s="75" t="e">
        <f>TWSC!M22</f>
        <v>#DIV/0!</v>
      </c>
      <c r="P12" s="59" t="e">
        <f>TWSC!M15/'TWSC-CALCS'!O12</f>
        <v>#DIV/0!</v>
      </c>
      <c r="Q12" s="58">
        <f>IF(TWSC!M11=0,0,TWSC!M12)</f>
        <v>0</v>
      </c>
      <c r="R12" s="60">
        <f>Q12*N12</f>
        <v>0</v>
      </c>
      <c r="S12" s="60"/>
      <c r="T12" s="42"/>
      <c r="U12" s="42"/>
    </row>
    <row r="13" spans="4:21" x14ac:dyDescent="0.25">
      <c r="D13" s="42">
        <v>11</v>
      </c>
      <c r="E13" s="42">
        <v>6.5</v>
      </c>
      <c r="F13" s="42">
        <v>6.5</v>
      </c>
      <c r="G13" s="42">
        <v>6.5</v>
      </c>
      <c r="J13" s="42">
        <v>11</v>
      </c>
      <c r="K13" s="57">
        <f>TWSC!N11</f>
        <v>0</v>
      </c>
      <c r="L13" s="58" t="e">
        <f>TWSC!N24</f>
        <v>#DIV/0!</v>
      </c>
      <c r="M13" s="42">
        <f>TWSC!N25</f>
        <v>0</v>
      </c>
      <c r="N13" s="59" t="e">
        <f>3600/O13+225*(P13-1+SQRT((P13-1)^2+32*P13/O13))</f>
        <v>#DIV/0!</v>
      </c>
      <c r="O13" s="75" t="e">
        <f>TWSC!N24</f>
        <v>#DIV/0!</v>
      </c>
      <c r="P13" s="59" t="e">
        <f>Q13/O13</f>
        <v>#DIV/0!</v>
      </c>
      <c r="Q13" s="58" t="e">
        <f>TWSC!N15+IF(TWSC!M11=0,TWSC!M15,0)+IF(TWSC!O11=0,TWSC!O15,0)</f>
        <v>#DIV/0!</v>
      </c>
      <c r="R13" s="60" t="e">
        <f>N13*Q13</f>
        <v>#DIV/0!</v>
      </c>
      <c r="S13" s="60"/>
      <c r="T13" s="42"/>
      <c r="U13" s="42"/>
    </row>
    <row r="14" spans="4:21" x14ac:dyDescent="0.25">
      <c r="D14" s="42">
        <v>12</v>
      </c>
      <c r="E14" s="42">
        <v>6.2</v>
      </c>
      <c r="F14" s="42">
        <v>6.9</v>
      </c>
      <c r="G14" s="42">
        <v>7.1</v>
      </c>
      <c r="J14" s="42">
        <v>12</v>
      </c>
      <c r="K14" s="57">
        <f>TWSC!O11</f>
        <v>0</v>
      </c>
      <c r="L14" s="58" t="e">
        <f>TWSC!O19</f>
        <v>#DIV/0!</v>
      </c>
      <c r="M14" s="42" t="e">
        <f>TWSC!O23</f>
        <v>#DIV/0!</v>
      </c>
      <c r="N14" s="59">
        <f>IF(TWSC!O11=0,0,3600/O14+225*(P14-1+SQRT((P14-1)^2+32*P14/O14))+5)</f>
        <v>0</v>
      </c>
      <c r="O14" s="75" t="e">
        <f>TWSC!O22</f>
        <v>#DIV/0!</v>
      </c>
      <c r="P14" s="59" t="e">
        <f>TWSC!O15/'TWSC-CALCS'!O14</f>
        <v>#DIV/0!</v>
      </c>
      <c r="Q14" s="58">
        <f>IF(TWSC!O11=0,0,TWSC!O15)</f>
        <v>0</v>
      </c>
      <c r="R14" s="60">
        <f>Q14*N14</f>
        <v>0</v>
      </c>
      <c r="S14" s="60"/>
      <c r="T14" s="42"/>
      <c r="U14" s="42"/>
    </row>
    <row r="15" spans="4:21" x14ac:dyDescent="0.25">
      <c r="J15" s="61" t="s">
        <v>881</v>
      </c>
      <c r="K15" s="42"/>
      <c r="L15" s="42"/>
      <c r="M15" s="42"/>
      <c r="N15" s="42"/>
      <c r="O15" s="42"/>
      <c r="P15" s="42"/>
      <c r="Q15" s="58" t="e">
        <f>TWSC!E12+TWSC!F12+TWSC!H12+TWSC!I12</f>
        <v>#N/A</v>
      </c>
      <c r="R15" s="42">
        <v>0</v>
      </c>
      <c r="S15" s="42"/>
      <c r="T15" s="42"/>
      <c r="U15" s="42"/>
    </row>
    <row r="16" spans="4:21" ht="15.75" thickBot="1" x14ac:dyDescent="0.3">
      <c r="J16" s="42"/>
      <c r="K16" s="42"/>
      <c r="L16" s="42"/>
      <c r="M16" s="42" t="s">
        <v>882</v>
      </c>
      <c r="N16" s="42"/>
      <c r="O16" s="42"/>
      <c r="P16" s="42"/>
      <c r="Q16" s="58" t="e">
        <f>SUM(Q7:Q15)</f>
        <v>#N/A</v>
      </c>
      <c r="R16" s="58" t="e">
        <f>SUM(R7:R15)</f>
        <v>#N/A</v>
      </c>
      <c r="S16" s="42" t="s">
        <v>702</v>
      </c>
      <c r="T16" s="61" t="e">
        <f>R16/Q16</f>
        <v>#N/A</v>
      </c>
      <c r="U16" s="42" t="s">
        <v>4</v>
      </c>
    </row>
    <row r="17" spans="4:21" ht="15.75" thickBot="1" x14ac:dyDescent="0.3">
      <c r="D17" s="16"/>
      <c r="E17" s="1653" t="s">
        <v>690</v>
      </c>
      <c r="F17" s="1653"/>
      <c r="G17" s="1654"/>
      <c r="J17" s="42"/>
      <c r="K17" s="42"/>
      <c r="L17" s="42"/>
      <c r="M17" s="42" t="s">
        <v>883</v>
      </c>
      <c r="N17" s="42"/>
      <c r="O17" s="42"/>
      <c r="P17" s="42"/>
      <c r="Q17" s="58" t="e">
        <f>SUM(Q7:Q14)</f>
        <v>#N/A</v>
      </c>
      <c r="R17" s="58" t="e">
        <f>R16</f>
        <v>#N/A</v>
      </c>
      <c r="S17" s="42" t="s">
        <v>702</v>
      </c>
      <c r="T17" s="61" t="e">
        <f>R17/Q17</f>
        <v>#N/A</v>
      </c>
      <c r="U17" s="42" t="s">
        <v>4</v>
      </c>
    </row>
    <row r="18" spans="4:21" ht="15.75" thickBot="1" x14ac:dyDescent="0.3">
      <c r="D18" s="42"/>
      <c r="E18" s="42"/>
      <c r="F18" s="42" t="s">
        <v>688</v>
      </c>
      <c r="G18" s="42"/>
    </row>
    <row r="19" spans="4:21" ht="15.75" thickBot="1" x14ac:dyDescent="0.3">
      <c r="D19" s="42" t="s">
        <v>8</v>
      </c>
      <c r="E19" s="42">
        <v>1</v>
      </c>
      <c r="F19" s="42">
        <v>2</v>
      </c>
      <c r="G19" s="42">
        <v>3</v>
      </c>
      <c r="J19" s="65" t="s">
        <v>692</v>
      </c>
      <c r="K19" s="62"/>
      <c r="L19" s="63"/>
      <c r="M19" s="63"/>
      <c r="N19" s="63"/>
      <c r="O19" s="63"/>
      <c r="P19" s="63"/>
      <c r="Q19" s="63"/>
      <c r="R19" s="64"/>
    </row>
    <row r="20" spans="4:21" x14ac:dyDescent="0.25">
      <c r="D20" s="42">
        <v>1</v>
      </c>
      <c r="E20" s="42">
        <v>2.2000000000000002</v>
      </c>
      <c r="F20" s="42">
        <v>2.2000000000000002</v>
      </c>
      <c r="G20" s="42">
        <v>3.1</v>
      </c>
      <c r="J20" s="42"/>
      <c r="K20" s="42"/>
      <c r="L20" s="42" t="s">
        <v>693</v>
      </c>
      <c r="M20" s="42"/>
    </row>
    <row r="21" spans="4:21" x14ac:dyDescent="0.25">
      <c r="D21" s="42">
        <v>4</v>
      </c>
      <c r="E21" s="42">
        <v>2.2000000000000002</v>
      </c>
      <c r="F21" s="42">
        <v>2.2000000000000002</v>
      </c>
      <c r="G21" s="42">
        <v>3.1</v>
      </c>
      <c r="J21" s="42"/>
      <c r="K21" s="42">
        <v>1</v>
      </c>
      <c r="L21" s="42">
        <v>2</v>
      </c>
      <c r="M21" s="42">
        <v>3</v>
      </c>
    </row>
    <row r="22" spans="4:21" x14ac:dyDescent="0.25">
      <c r="D22" s="42">
        <v>7</v>
      </c>
      <c r="E22" s="42">
        <v>3.5</v>
      </c>
      <c r="F22" s="42">
        <v>3.5</v>
      </c>
      <c r="G22" s="42">
        <v>3.8</v>
      </c>
      <c r="J22" s="42">
        <v>7</v>
      </c>
      <c r="K22" s="58" t="e">
        <f>2*TWSC!D12+TWSC!E12+0.5*TWSC!F12+2*TWSC!G12+TWSC!H12+0.5*TWSC!I12+0.5*TWSC!N12+0.5*TWSC!O12</f>
        <v>#N/A</v>
      </c>
      <c r="L22" s="58" t="e">
        <f>2*TWSC!D12+TWSC!E12+0.5*TWSC!F12+2*TWSC!G12+0.5*TWSC!H12+0.5*TWSC!N12</f>
        <v>#N/A</v>
      </c>
      <c r="M22" s="58" t="e">
        <f>2*TWSC!D12+TWSC!E12+0.5*TWSC!F12+2*TWSC!G12+0.4*TWSC!H12+0.5*TWSC!N12</f>
        <v>#N/A</v>
      </c>
      <c r="O22" s="31"/>
      <c r="P22" s="31"/>
    </row>
    <row r="23" spans="4:21" x14ac:dyDescent="0.25">
      <c r="D23" s="42">
        <v>8</v>
      </c>
      <c r="E23" s="42">
        <v>4</v>
      </c>
      <c r="F23" s="42">
        <v>4</v>
      </c>
      <c r="G23" s="42">
        <v>4</v>
      </c>
      <c r="J23" s="42">
        <v>8</v>
      </c>
      <c r="K23" s="58" t="e">
        <f>2*TWSC!D12+TWSC!E12+0.5*TWSC!F12+2*TWSC!G12+TWSC!H12+TWSC!I12</f>
        <v>#N/A</v>
      </c>
      <c r="L23" s="58" t="e">
        <f>2*TWSC!D12+TWSC!E12+0.5*TWSC!F12+2*TWSC!G12+TWSC!H12+TWSC!I12</f>
        <v>#N/A</v>
      </c>
      <c r="M23" s="58" t="e">
        <f>2*TWSC!D12+TWSC!E12+0.5*TWSC!F12+2*TWSC!G12+TWSC!H12+TWSC!I12</f>
        <v>#N/A</v>
      </c>
    </row>
    <row r="24" spans="4:21" x14ac:dyDescent="0.25">
      <c r="D24" s="42">
        <v>9</v>
      </c>
      <c r="E24" s="42">
        <v>3.3</v>
      </c>
      <c r="F24" s="42">
        <v>3.3</v>
      </c>
      <c r="G24" s="42">
        <v>3.9</v>
      </c>
      <c r="J24" s="42">
        <v>10</v>
      </c>
      <c r="K24" s="58" t="e">
        <f>2*TWSC!G12+TWSC!H12+0.5*TWSC!I12+2*TWSC!D12+TWSC!E12+0.5*TWSC!F12+0.5*TWSC!L12+0.5*TWSC!K12</f>
        <v>#DIV/0!</v>
      </c>
      <c r="L24" s="58" t="e">
        <f>2*TWSC!G12+TWSC!H12+0.5*TWSC!I12+2*TWSC!D12+0.5*TWSC!E12+0.5*TWSC!K12</f>
        <v>#DIV/0!</v>
      </c>
      <c r="M24" s="58" t="e">
        <f>2*TWSC!G12+TWSC!H12+0.5*TWSC!I12+2*TWSC!D12+0.4*TWSC!E12+0.5*TWSC!K12</f>
        <v>#DIV/0!</v>
      </c>
    </row>
    <row r="25" spans="4:21" x14ac:dyDescent="0.25">
      <c r="D25" s="42">
        <v>10</v>
      </c>
      <c r="E25" s="42">
        <v>3.5</v>
      </c>
      <c r="F25" s="42">
        <v>3.5</v>
      </c>
      <c r="G25" s="42">
        <v>3.8</v>
      </c>
      <c r="J25" s="42">
        <v>11</v>
      </c>
      <c r="K25" s="58" t="e">
        <f>2*TWSC!G12+TWSC!H12+0.5*TWSC!I12+2*TWSC!D12+TWSC!E12+TWSC!F12</f>
        <v>#DIV/0!</v>
      </c>
      <c r="L25" s="58" t="e">
        <f>K25</f>
        <v>#DIV/0!</v>
      </c>
      <c r="M25" s="58" t="e">
        <f>K25</f>
        <v>#DIV/0!</v>
      </c>
      <c r="O25" s="31"/>
      <c r="P25" s="31"/>
    </row>
    <row r="26" spans="4:21" x14ac:dyDescent="0.25">
      <c r="D26" s="42">
        <v>11</v>
      </c>
      <c r="E26" s="42">
        <v>4</v>
      </c>
      <c r="F26" s="42">
        <v>4</v>
      </c>
      <c r="G26" s="42">
        <v>4</v>
      </c>
    </row>
    <row r="27" spans="4:21" x14ac:dyDescent="0.25">
      <c r="D27" s="42">
        <v>12</v>
      </c>
      <c r="E27" s="42">
        <v>3.3</v>
      </c>
      <c r="F27" s="42">
        <v>3.3</v>
      </c>
      <c r="G27" s="42">
        <v>3.9</v>
      </c>
    </row>
    <row r="28" spans="4:21" ht="15.75" thickBot="1" x14ac:dyDescent="0.3"/>
    <row r="29" spans="4:21" ht="15.75" thickBot="1" x14ac:dyDescent="0.3">
      <c r="J29" s="65" t="s">
        <v>694</v>
      </c>
      <c r="K29" s="62"/>
      <c r="L29" s="63"/>
      <c r="M29" s="63"/>
      <c r="N29" s="63"/>
      <c r="O29" s="63"/>
      <c r="P29" s="63"/>
      <c r="Q29" s="63"/>
      <c r="R29" s="63"/>
      <c r="S29" s="63"/>
      <c r="T29" s="64"/>
    </row>
    <row r="30" spans="4:21" ht="15.75" thickBot="1" x14ac:dyDescent="0.3">
      <c r="J30" s="70"/>
      <c r="K30" s="71"/>
      <c r="L30" s="77"/>
      <c r="M30" s="77" t="s">
        <v>693</v>
      </c>
      <c r="N30" s="77"/>
      <c r="O30" s="77"/>
      <c r="P30" s="77"/>
      <c r="Q30" s="77"/>
      <c r="R30" s="77"/>
      <c r="S30" s="77"/>
      <c r="T30" s="78"/>
    </row>
    <row r="31" spans="4:21" ht="15.75" thickBot="1" x14ac:dyDescent="0.3">
      <c r="J31" s="16" t="s">
        <v>8</v>
      </c>
      <c r="K31" s="63"/>
      <c r="L31" s="82" t="s">
        <v>695</v>
      </c>
      <c r="M31" s="82" t="s">
        <v>696</v>
      </c>
      <c r="N31" s="82" t="s">
        <v>698</v>
      </c>
      <c r="O31" s="82" t="s">
        <v>879</v>
      </c>
      <c r="P31" s="82" t="s">
        <v>880</v>
      </c>
      <c r="Q31" s="82" t="s">
        <v>697</v>
      </c>
      <c r="R31" s="82" t="s">
        <v>699</v>
      </c>
      <c r="S31" s="82" t="s">
        <v>700</v>
      </c>
      <c r="T31" s="83" t="s">
        <v>701</v>
      </c>
    </row>
    <row r="32" spans="4:21" x14ac:dyDescent="0.25">
      <c r="J32" s="72">
        <v>7</v>
      </c>
      <c r="K32" s="42"/>
      <c r="L32" s="59" t="e">
        <f>1-TWSC!D23</f>
        <v>#N/A</v>
      </c>
      <c r="M32" s="59" t="e">
        <f>1-TWSC!G23</f>
        <v>#DIV/0!</v>
      </c>
      <c r="N32" s="59" t="e">
        <f>1-TWSC!K23</f>
        <v>#DIV/0!</v>
      </c>
      <c r="O32" s="59" t="e">
        <f>1-TWSC!O23</f>
        <v>#DIV/0!</v>
      </c>
      <c r="P32" s="59"/>
      <c r="Q32" s="59" t="e">
        <f>1-TWSC!N23</f>
        <v>#DIV/0!</v>
      </c>
      <c r="R32" s="59" t="e">
        <f>L32*M32</f>
        <v>#N/A</v>
      </c>
      <c r="S32" s="59" t="e">
        <f>0.65*R32-R32/(R32+3)+0.6*SQRT(R32)</f>
        <v>#N/A</v>
      </c>
      <c r="T32" s="79" t="e">
        <f>MAX(0.02,S32*O32)</f>
        <v>#N/A</v>
      </c>
    </row>
    <row r="33" spans="10:20" ht="15.75" thickBot="1" x14ac:dyDescent="0.3">
      <c r="J33" s="73">
        <v>10</v>
      </c>
      <c r="K33" s="74"/>
      <c r="L33" s="80" t="e">
        <f>L32</f>
        <v>#N/A</v>
      </c>
      <c r="M33" s="80" t="e">
        <f>M32</f>
        <v>#DIV/0!</v>
      </c>
      <c r="N33" s="80" t="e">
        <f>N32</f>
        <v>#DIV/0!</v>
      </c>
      <c r="O33" s="80"/>
      <c r="P33" s="80" t="e">
        <f>1-TWSC!L23</f>
        <v>#DIV/0!</v>
      </c>
      <c r="Q33" s="80" t="e">
        <f>Q32</f>
        <v>#DIV/0!</v>
      </c>
      <c r="R33" s="80" t="e">
        <f>L33*M33*N33</f>
        <v>#N/A</v>
      </c>
      <c r="S33" s="80" t="e">
        <f>0.5*R33+R33/(R33+3)+0.6*SQRT(R33)</f>
        <v>#N/A</v>
      </c>
      <c r="T33" s="81" t="e">
        <f>MAX(0.02,S33*P33)</f>
        <v>#N/A</v>
      </c>
    </row>
    <row r="35" spans="10:20" x14ac:dyDescent="0.25">
      <c r="L35" s="31"/>
      <c r="M35" s="31"/>
      <c r="N35" s="31"/>
      <c r="O35" s="31"/>
      <c r="P35" s="31"/>
    </row>
  </sheetData>
  <mergeCells count="2">
    <mergeCell ref="E4:G4"/>
    <mergeCell ref="E17:G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B2:P30"/>
  <sheetViews>
    <sheetView zoomScale="130" zoomScaleNormal="130" workbookViewId="0"/>
  </sheetViews>
  <sheetFormatPr defaultColWidth="8.85546875" defaultRowHeight="15" x14ac:dyDescent="0.25"/>
  <cols>
    <col min="1" max="1" width="3" customWidth="1"/>
    <col min="2" max="2" width="33.7109375" customWidth="1"/>
    <col min="4" max="4" width="17.42578125" customWidth="1"/>
    <col min="11" max="11" width="9.7109375" customWidth="1"/>
    <col min="13" max="13" width="10.42578125" customWidth="1"/>
    <col min="14" max="14" width="9.42578125" bestFit="1" customWidth="1"/>
    <col min="15" max="15" width="10.42578125" bestFit="1" customWidth="1"/>
  </cols>
  <sheetData>
    <row r="2" spans="2:16" ht="18.75" x14ac:dyDescent="0.3">
      <c r="B2" s="363" t="s">
        <v>1190</v>
      </c>
      <c r="H2" s="1661">
        <f>'GLOBAL INPUTS'!F55</f>
        <v>0</v>
      </c>
      <c r="I2" s="1662"/>
      <c r="J2" s="1662"/>
      <c r="K2" s="1663"/>
      <c r="L2" s="180"/>
    </row>
    <row r="4" spans="2:16" x14ac:dyDescent="0.25">
      <c r="B4" s="404" t="s">
        <v>466</v>
      </c>
      <c r="C4" s="404" t="s">
        <v>467</v>
      </c>
      <c r="D4" s="404" t="s">
        <v>468</v>
      </c>
      <c r="E4" s="405"/>
    </row>
    <row r="5" spans="2:16" x14ac:dyDescent="0.25">
      <c r="B5" s="366" t="s">
        <v>469</v>
      </c>
      <c r="C5" s="366"/>
      <c r="D5" s="366" t="s">
        <v>470</v>
      </c>
      <c r="E5" s="367">
        <f>'GLOBAL INPUTS'!F58</f>
        <v>0</v>
      </c>
      <c r="F5" s="1664"/>
      <c r="G5" s="1664"/>
      <c r="H5" s="30"/>
    </row>
    <row r="6" spans="2:16" ht="18" x14ac:dyDescent="0.35">
      <c r="B6" s="366" t="s">
        <v>471</v>
      </c>
      <c r="C6" s="366"/>
      <c r="D6" s="366" t="s">
        <v>472</v>
      </c>
      <c r="E6" s="367">
        <f>'GLOBAL INPUTS'!F59/100</f>
        <v>0</v>
      </c>
      <c r="F6" s="1664"/>
      <c r="G6" s="1664"/>
      <c r="H6" s="406"/>
    </row>
    <row r="8" spans="2:16" x14ac:dyDescent="0.25">
      <c r="B8" s="404" t="s">
        <v>473</v>
      </c>
      <c r="C8" s="404" t="s">
        <v>467</v>
      </c>
      <c r="D8" s="404" t="s">
        <v>468</v>
      </c>
      <c r="E8" s="1657" t="str">
        <f>'GLOBAL INPUTS'!N57</f>
        <v>WB</v>
      </c>
      <c r="F8" s="1657"/>
      <c r="G8" s="1657"/>
      <c r="H8" s="1657" t="str">
        <f>'GLOBAL INPUTS'!N63</f>
        <v>EB</v>
      </c>
      <c r="I8" s="1657"/>
      <c r="J8" s="1657"/>
      <c r="K8" s="1657" t="str">
        <f>'GLOBAL INPUTS'!N60</f>
        <v>NB</v>
      </c>
      <c r="L8" s="1657"/>
      <c r="M8" s="1657"/>
      <c r="N8" s="1657" t="str">
        <f>'GLOBAL INPUTS'!N66</f>
        <v>SB</v>
      </c>
      <c r="O8" s="1657"/>
      <c r="P8" s="1657"/>
    </row>
    <row r="9" spans="2:16" x14ac:dyDescent="0.25">
      <c r="B9" s="366"/>
      <c r="C9" s="366"/>
      <c r="D9" s="407"/>
      <c r="E9" s="408" t="s">
        <v>475</v>
      </c>
      <c r="F9" s="408" t="s">
        <v>476</v>
      </c>
      <c r="G9" s="408" t="s">
        <v>477</v>
      </c>
      <c r="H9" s="408" t="s">
        <v>475</v>
      </c>
      <c r="I9" s="408" t="s">
        <v>476</v>
      </c>
      <c r="J9" s="408" t="s">
        <v>477</v>
      </c>
      <c r="K9" s="408" t="s">
        <v>475</v>
      </c>
      <c r="L9" s="408" t="s">
        <v>476</v>
      </c>
      <c r="M9" s="408" t="s">
        <v>477</v>
      </c>
      <c r="N9" s="408" t="s">
        <v>475</v>
      </c>
      <c r="O9" s="408" t="s">
        <v>476</v>
      </c>
      <c r="P9" s="408" t="s">
        <v>477</v>
      </c>
    </row>
    <row r="10" spans="2:16" ht="18" x14ac:dyDescent="0.35">
      <c r="B10" s="366" t="s">
        <v>478</v>
      </c>
      <c r="C10" s="366" t="s">
        <v>1032</v>
      </c>
      <c r="D10" s="366" t="s">
        <v>479</v>
      </c>
      <c r="E10" s="409">
        <f>'GLOBAL INPUTS'!S56</f>
        <v>0</v>
      </c>
      <c r="F10" s="409">
        <f>'GLOBAL INPUTS'!S57</f>
        <v>0</v>
      </c>
      <c r="G10" s="409">
        <f>'GLOBAL INPUTS'!S58</f>
        <v>0</v>
      </c>
      <c r="H10" s="409">
        <f>'GLOBAL INPUTS'!S62</f>
        <v>0</v>
      </c>
      <c r="I10" s="409">
        <f>'GLOBAL INPUTS'!S63</f>
        <v>0</v>
      </c>
      <c r="J10" s="409">
        <f>'GLOBAL INPUTS'!S64</f>
        <v>0</v>
      </c>
      <c r="K10" s="409">
        <f>'GLOBAL INPUTS'!S59</f>
        <v>0</v>
      </c>
      <c r="L10" s="409">
        <f>'GLOBAL INPUTS'!S60</f>
        <v>0</v>
      </c>
      <c r="M10" s="409">
        <f>'GLOBAL INPUTS'!S61</f>
        <v>0</v>
      </c>
      <c r="N10" s="409">
        <f>'GLOBAL INPUTS'!S65</f>
        <v>0</v>
      </c>
      <c r="O10" s="409">
        <f>'GLOBAL INPUTS'!S66</f>
        <v>0</v>
      </c>
      <c r="P10" s="409">
        <f>'GLOBAL INPUTS'!S67</f>
        <v>0</v>
      </c>
    </row>
    <row r="11" spans="2:16" ht="18" x14ac:dyDescent="0.35">
      <c r="B11" s="366" t="s">
        <v>480</v>
      </c>
      <c r="C11" s="366" t="s">
        <v>1032</v>
      </c>
      <c r="D11" s="366" t="s">
        <v>481</v>
      </c>
      <c r="E11" s="386" t="e">
        <f t="shared" ref="E11:P11" si="0">E10/$E$5</f>
        <v>#DIV/0!</v>
      </c>
      <c r="F11" s="386" t="e">
        <f t="shared" si="0"/>
        <v>#DIV/0!</v>
      </c>
      <c r="G11" s="386" t="e">
        <f t="shared" si="0"/>
        <v>#DIV/0!</v>
      </c>
      <c r="H11" s="386" t="e">
        <f t="shared" si="0"/>
        <v>#DIV/0!</v>
      </c>
      <c r="I11" s="386" t="e">
        <f t="shared" si="0"/>
        <v>#DIV/0!</v>
      </c>
      <c r="J11" s="386" t="e">
        <f t="shared" si="0"/>
        <v>#DIV/0!</v>
      </c>
      <c r="K11" s="386" t="e">
        <f t="shared" si="0"/>
        <v>#DIV/0!</v>
      </c>
      <c r="L11" s="386" t="e">
        <f t="shared" si="0"/>
        <v>#DIV/0!</v>
      </c>
      <c r="M11" s="386" t="e">
        <f t="shared" si="0"/>
        <v>#DIV/0!</v>
      </c>
      <c r="N11" s="386" t="e">
        <f t="shared" si="0"/>
        <v>#DIV/0!</v>
      </c>
      <c r="O11" s="386" t="e">
        <f t="shared" si="0"/>
        <v>#DIV/0!</v>
      </c>
      <c r="P11" s="386" t="e">
        <f t="shared" si="0"/>
        <v>#DIV/0!</v>
      </c>
    </row>
    <row r="12" spans="2:16" ht="18" x14ac:dyDescent="0.35">
      <c r="B12" s="366" t="s">
        <v>482</v>
      </c>
      <c r="C12" s="366" t="s">
        <v>1033</v>
      </c>
      <c r="D12" s="366" t="s">
        <v>483</v>
      </c>
      <c r="E12" s="386" t="e">
        <f>E11*(1+$E$6)</f>
        <v>#DIV/0!</v>
      </c>
      <c r="F12" s="386" t="e">
        <f t="shared" ref="F12:P12" si="1">F11*(1+$E$6)</f>
        <v>#DIV/0!</v>
      </c>
      <c r="G12" s="386" t="e">
        <f t="shared" si="1"/>
        <v>#DIV/0!</v>
      </c>
      <c r="H12" s="386" t="e">
        <f t="shared" si="1"/>
        <v>#DIV/0!</v>
      </c>
      <c r="I12" s="386" t="e">
        <f t="shared" si="1"/>
        <v>#DIV/0!</v>
      </c>
      <c r="J12" s="386" t="e">
        <f t="shared" si="1"/>
        <v>#DIV/0!</v>
      </c>
      <c r="K12" s="386" t="e">
        <f t="shared" si="1"/>
        <v>#DIV/0!</v>
      </c>
      <c r="L12" s="386" t="e">
        <f t="shared" si="1"/>
        <v>#DIV/0!</v>
      </c>
      <c r="M12" s="386" t="e">
        <f t="shared" si="1"/>
        <v>#DIV/0!</v>
      </c>
      <c r="N12" s="386" t="e">
        <f t="shared" si="1"/>
        <v>#DIV/0!</v>
      </c>
      <c r="O12" s="386" t="e">
        <f t="shared" si="1"/>
        <v>#DIV/0!</v>
      </c>
      <c r="P12" s="386" t="e">
        <f t="shared" si="1"/>
        <v>#DIV/0!</v>
      </c>
    </row>
    <row r="13" spans="2:16" x14ac:dyDescent="0.25">
      <c r="B13" s="366" t="s">
        <v>503</v>
      </c>
      <c r="C13" s="366" t="s">
        <v>1033</v>
      </c>
      <c r="D13" s="366" t="s">
        <v>927</v>
      </c>
      <c r="E13" s="410" t="e">
        <f>E12*'GLOBAL INPUTS'!$F$68</f>
        <v>#DIV/0!</v>
      </c>
      <c r="F13" s="410" t="e">
        <f>F12*'GLOBAL INPUTS'!$F$68</f>
        <v>#DIV/0!</v>
      </c>
      <c r="G13" s="410" t="e">
        <f>G12*'GLOBAL INPUTS'!$F$68</f>
        <v>#DIV/0!</v>
      </c>
      <c r="H13" s="410" t="e">
        <f>H12*'GLOBAL INPUTS'!$F$68</f>
        <v>#DIV/0!</v>
      </c>
      <c r="I13" s="410" t="e">
        <f>I12*'GLOBAL INPUTS'!$F$68</f>
        <v>#DIV/0!</v>
      </c>
      <c r="J13" s="410" t="e">
        <f>J12*'GLOBAL INPUTS'!$F$68</f>
        <v>#DIV/0!</v>
      </c>
      <c r="K13" s="410" t="e">
        <f>K12*'GLOBAL INPUTS'!$F$68</f>
        <v>#DIV/0!</v>
      </c>
      <c r="L13" s="410" t="e">
        <f>L12*'GLOBAL INPUTS'!$F$68</f>
        <v>#DIV/0!</v>
      </c>
      <c r="M13" s="410" t="e">
        <f>M12*'GLOBAL INPUTS'!$F$68</f>
        <v>#DIV/0!</v>
      </c>
      <c r="N13" s="410" t="e">
        <f>N12*'GLOBAL INPUTS'!$F$68</f>
        <v>#DIV/0!</v>
      </c>
      <c r="O13" s="410" t="e">
        <f>O12*'GLOBAL INPUTS'!$F$68</f>
        <v>#DIV/0!</v>
      </c>
      <c r="P13" s="410" t="e">
        <f>P12*'GLOBAL INPUTS'!$F$68</f>
        <v>#DIV/0!</v>
      </c>
    </row>
    <row r="14" spans="2:16" x14ac:dyDescent="0.25">
      <c r="E14" s="31"/>
      <c r="F14" s="31"/>
      <c r="G14" s="31"/>
      <c r="H14" s="31"/>
      <c r="I14" s="31"/>
      <c r="J14" s="31"/>
      <c r="K14" s="31"/>
      <c r="L14" s="31"/>
      <c r="M14" s="31"/>
      <c r="N14" s="31"/>
      <c r="O14" s="31"/>
      <c r="P14" s="31"/>
    </row>
    <row r="15" spans="2:16" x14ac:dyDescent="0.25">
      <c r="B15" s="404" t="s">
        <v>484</v>
      </c>
      <c r="C15" s="404" t="s">
        <v>467</v>
      </c>
      <c r="D15" s="411"/>
      <c r="E15" s="412" t="str">
        <f>E8</f>
        <v>WB</v>
      </c>
      <c r="F15" s="412" t="str">
        <f>H8</f>
        <v>EB</v>
      </c>
      <c r="G15" s="412" t="str">
        <f>K8</f>
        <v>NB</v>
      </c>
      <c r="H15" s="412" t="str">
        <f>N8</f>
        <v>SB</v>
      </c>
      <c r="I15" s="31"/>
      <c r="J15" s="31"/>
      <c r="K15" s="31"/>
      <c r="L15" s="31"/>
      <c r="M15" s="31"/>
      <c r="N15" s="31"/>
      <c r="O15" s="31"/>
      <c r="P15" s="31"/>
    </row>
    <row r="16" spans="2:16" ht="18" x14ac:dyDescent="0.35">
      <c r="B16" s="366" t="s">
        <v>485</v>
      </c>
      <c r="C16" s="366" t="s">
        <v>1033</v>
      </c>
      <c r="D16" s="366" t="s">
        <v>486</v>
      </c>
      <c r="E16" s="386" t="e">
        <f>H13+L13+K13+$H$5*(I13+N13+J13)</f>
        <v>#DIV/0!</v>
      </c>
      <c r="F16" s="386" t="e">
        <f>E13+O13+N13+$H$5*(F13+K13+N13)</f>
        <v>#DIV/0!</v>
      </c>
      <c r="G16" s="386" t="e">
        <f>N13+I13+H13+$H$5*(J13+O13+E13)</f>
        <v>#DIV/0!</v>
      </c>
      <c r="H16" s="386" t="e">
        <f>K13+F13+E13+$H$5*(G13+L13+H13)</f>
        <v>#DIV/0!</v>
      </c>
      <c r="M16" s="20"/>
      <c r="N16" s="20"/>
      <c r="O16" s="20"/>
      <c r="P16" s="31"/>
    </row>
    <row r="17" spans="2:16" ht="18" x14ac:dyDescent="0.35">
      <c r="B17" s="366" t="s">
        <v>487</v>
      </c>
      <c r="C17" s="366" t="s">
        <v>1033</v>
      </c>
      <c r="D17" t="s">
        <v>488</v>
      </c>
      <c r="E17" s="386" t="e">
        <f>SUM(E13:G13)</f>
        <v>#DIV/0!</v>
      </c>
      <c r="F17" s="386" t="e">
        <f>SUM(H13:J13)</f>
        <v>#DIV/0!</v>
      </c>
      <c r="G17" s="386" t="e">
        <f>SUM(K13:M13)</f>
        <v>#DIV/0!</v>
      </c>
      <c r="H17" s="386" t="e">
        <f>SUM(N13:P13)</f>
        <v>#DIV/0!</v>
      </c>
      <c r="J17" s="366" t="s">
        <v>504</v>
      </c>
      <c r="K17" s="366" t="s">
        <v>72</v>
      </c>
      <c r="M17" s="31"/>
      <c r="N17" s="413"/>
      <c r="O17" s="413"/>
      <c r="P17" s="31"/>
    </row>
    <row r="18" spans="2:16" ht="18" x14ac:dyDescent="0.35">
      <c r="B18" s="366" t="s">
        <v>489</v>
      </c>
      <c r="C18" s="366" t="s">
        <v>1033</v>
      </c>
      <c r="D18" s="366" t="s">
        <v>490</v>
      </c>
      <c r="E18" s="386" t="e">
        <f>1380*EXP(-1.02/1000*E16)</f>
        <v>#DIV/0!</v>
      </c>
      <c r="F18" s="386" t="e">
        <f>1380*EXP(-1.02/1000*F16)</f>
        <v>#DIV/0!</v>
      </c>
      <c r="G18" s="386" t="e">
        <f>1380*EXP(-1.02/1000*G16)</f>
        <v>#DIV/0!</v>
      </c>
      <c r="H18" s="386" t="e">
        <f>1380*EXP(-1.02/1000*H16)</f>
        <v>#DIV/0!</v>
      </c>
      <c r="J18" s="267">
        <v>0</v>
      </c>
      <c r="K18" s="267" t="s">
        <v>16</v>
      </c>
      <c r="M18" s="399"/>
      <c r="N18" s="399"/>
      <c r="O18" s="399"/>
      <c r="P18" s="399"/>
    </row>
    <row r="19" spans="2:16" ht="18" x14ac:dyDescent="0.35">
      <c r="B19" s="366" t="s">
        <v>491</v>
      </c>
      <c r="C19" s="366" t="s">
        <v>1032</v>
      </c>
      <c r="D19" s="366" t="s">
        <v>481</v>
      </c>
      <c r="E19" s="386" t="e">
        <f>E17/(1+$E$6)</f>
        <v>#DIV/0!</v>
      </c>
      <c r="F19" s="386" t="e">
        <f t="shared" ref="F19:H19" si="2">F17/(1+$E$6)</f>
        <v>#DIV/0!</v>
      </c>
      <c r="G19" s="386" t="e">
        <f t="shared" si="2"/>
        <v>#DIV/0!</v>
      </c>
      <c r="H19" s="386" t="e">
        <f t="shared" si="2"/>
        <v>#DIV/0!</v>
      </c>
      <c r="J19" s="386">
        <v>10</v>
      </c>
      <c r="K19" s="267" t="s">
        <v>17</v>
      </c>
      <c r="M19" s="399"/>
      <c r="N19" s="399"/>
      <c r="O19" s="399"/>
      <c r="P19" s="399"/>
    </row>
    <row r="20" spans="2:16" ht="18" x14ac:dyDescent="0.35">
      <c r="B20" s="366" t="s">
        <v>492</v>
      </c>
      <c r="C20" s="366" t="s">
        <v>1032</v>
      </c>
      <c r="D20" s="366" t="s">
        <v>493</v>
      </c>
      <c r="E20" s="386" t="e">
        <f>E18/(1+$E$6)</f>
        <v>#DIV/0!</v>
      </c>
      <c r="F20" s="386" t="e">
        <f t="shared" ref="F20:H20" si="3">F18/(1+$E$6)</f>
        <v>#DIV/0!</v>
      </c>
      <c r="G20" s="386" t="e">
        <f t="shared" si="3"/>
        <v>#DIV/0!</v>
      </c>
      <c r="H20" s="386" t="e">
        <f t="shared" si="3"/>
        <v>#DIV/0!</v>
      </c>
      <c r="J20" s="267">
        <v>15</v>
      </c>
      <c r="K20" s="267" t="s">
        <v>18</v>
      </c>
      <c r="M20" s="31"/>
      <c r="N20" s="31"/>
      <c r="O20" s="31"/>
      <c r="P20" s="31"/>
    </row>
    <row r="21" spans="2:16" x14ac:dyDescent="0.25">
      <c r="B21" s="366" t="s">
        <v>494</v>
      </c>
      <c r="C21" s="366"/>
      <c r="D21" s="366" t="s">
        <v>495</v>
      </c>
      <c r="E21" s="388" t="e">
        <f>E19/E20</f>
        <v>#DIV/0!</v>
      </c>
      <c r="F21" s="388" t="e">
        <f t="shared" ref="F21:H21" si="4">F19/F20</f>
        <v>#DIV/0!</v>
      </c>
      <c r="G21" s="388" t="e">
        <f t="shared" si="4"/>
        <v>#DIV/0!</v>
      </c>
      <c r="H21" s="388" t="e">
        <f t="shared" si="4"/>
        <v>#DIV/0!</v>
      </c>
      <c r="J21" s="267">
        <v>25</v>
      </c>
      <c r="K21" s="267" t="s">
        <v>19</v>
      </c>
      <c r="L21" t="s">
        <v>885</v>
      </c>
      <c r="M21" s="275" t="e">
        <f>MAX(E21:H21)</f>
        <v>#DIV/0!</v>
      </c>
      <c r="N21" s="31"/>
      <c r="O21" s="31"/>
      <c r="P21" s="31"/>
    </row>
    <row r="22" spans="2:16" x14ac:dyDescent="0.25">
      <c r="B22" s="366" t="s">
        <v>496</v>
      </c>
      <c r="C22" s="366" t="s">
        <v>705</v>
      </c>
      <c r="D22" s="366" t="s">
        <v>497</v>
      </c>
      <c r="E22" s="388" t="e">
        <f>3600/E18+225*(E21-1+SQRT((E21-1)^2+32*E21/E18))+5*MIN(E21,1)</f>
        <v>#DIV/0!</v>
      </c>
      <c r="F22" s="388" t="e">
        <f t="shared" ref="F22:H22" si="5">3600/F18+225*(F21-1+SQRT((F21-1)^2+32*F21/F18))+5*MIN(F21,1)</f>
        <v>#DIV/0!</v>
      </c>
      <c r="G22" s="388" t="e">
        <f t="shared" si="5"/>
        <v>#DIV/0!</v>
      </c>
      <c r="H22" s="388" t="e">
        <f t="shared" si="5"/>
        <v>#DIV/0!</v>
      </c>
      <c r="J22" s="267">
        <v>35</v>
      </c>
      <c r="K22" s="267" t="s">
        <v>20</v>
      </c>
      <c r="M22" s="400"/>
      <c r="N22" s="400"/>
      <c r="O22" s="400"/>
      <c r="P22" s="400"/>
    </row>
    <row r="23" spans="2:16" x14ac:dyDescent="0.25">
      <c r="B23" s="366" t="s">
        <v>498</v>
      </c>
      <c r="C23" s="366"/>
      <c r="D23" s="366" t="s">
        <v>72</v>
      </c>
      <c r="E23" s="414" t="e">
        <f>VLOOKUP(E22,$J$18:$K$23,2,TRUE)</f>
        <v>#DIV/0!</v>
      </c>
      <c r="F23" s="414" t="e">
        <f t="shared" ref="F23:H23" si="6">VLOOKUP(F22,$J$18:$K$23,2,TRUE)</f>
        <v>#DIV/0!</v>
      </c>
      <c r="G23" s="414" t="e">
        <f t="shared" si="6"/>
        <v>#DIV/0!</v>
      </c>
      <c r="H23" s="414" t="e">
        <f t="shared" si="6"/>
        <v>#DIV/0!</v>
      </c>
      <c r="J23" s="267">
        <v>50</v>
      </c>
      <c r="K23" s="267" t="s">
        <v>21</v>
      </c>
      <c r="N23" s="400"/>
      <c r="O23" s="400"/>
    </row>
    <row r="24" spans="2:16" ht="19.5" x14ac:dyDescent="0.35">
      <c r="B24" s="366" t="s">
        <v>499</v>
      </c>
      <c r="C24" s="366" t="s">
        <v>705</v>
      </c>
      <c r="D24" s="415" t="s">
        <v>677</v>
      </c>
      <c r="E24" s="1658" t="e">
        <f>SUMPRODUCT(E17:H17,E22:H22)/SUM(E17:H17)</f>
        <v>#DIV/0!</v>
      </c>
      <c r="F24" s="1659"/>
      <c r="G24" s="1659"/>
      <c r="H24" s="1660"/>
      <c r="I24" s="416" t="s">
        <v>578</v>
      </c>
      <c r="M24" s="31"/>
      <c r="N24" s="31"/>
      <c r="O24" s="31"/>
      <c r="P24" s="31"/>
    </row>
    <row r="25" spans="2:16" ht="18.75" x14ac:dyDescent="0.3">
      <c r="B25" s="416" t="s">
        <v>505</v>
      </c>
      <c r="F25" s="1655" t="e">
        <f>VLOOKUP(E24,$J$18:$K$23,2,TRUE)</f>
        <v>#DIV/0!</v>
      </c>
      <c r="G25" s="1656"/>
    </row>
    <row r="27" spans="2:16" x14ac:dyDescent="0.25">
      <c r="B27" s="15" t="s">
        <v>500</v>
      </c>
    </row>
    <row r="28" spans="2:16" x14ac:dyDescent="0.25">
      <c r="B28" t="s">
        <v>501</v>
      </c>
    </row>
    <row r="29" spans="2:16" x14ac:dyDescent="0.25">
      <c r="B29" t="s">
        <v>502</v>
      </c>
    </row>
    <row r="30" spans="2:16" x14ac:dyDescent="0.25">
      <c r="B30" t="s">
        <v>1034</v>
      </c>
    </row>
  </sheetData>
  <sheetProtection algorithmName="SHA-512" hashValue="vl6qOhYEVp9REhZRNT2S2OyF4vMxL9EgpFs8hqujshaAyBtgBZF38zG/YdrywAMqOA6K8aCsodKblwUIaVsSfA==" saltValue="jRvHfvZctnLZngFM2vc1lQ==" spinCount="100000" sheet="1" objects="1" scenarios="1"/>
  <mergeCells count="9">
    <mergeCell ref="H2:K2"/>
    <mergeCell ref="F5:G5"/>
    <mergeCell ref="F6:G6"/>
    <mergeCell ref="F25:G25"/>
    <mergeCell ref="E8:G8"/>
    <mergeCell ref="H8:J8"/>
    <mergeCell ref="K8:M8"/>
    <mergeCell ref="N8:P8"/>
    <mergeCell ref="E24:H24"/>
  </mergeCells>
  <conditionalFormatting sqref="E21:H21">
    <cfRule type="cellIs" dxfId="94" priority="1" operator="greaterThan">
      <formula>1</formula>
    </cfRule>
  </conditionalFormatting>
  <conditionalFormatting sqref="F25:G25">
    <cfRule type="cellIs" dxfId="93" priority="2" operator="equal">
      <formula>"F"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0"/>
  <sheetViews>
    <sheetView zoomScale="120" zoomScaleNormal="120" workbookViewId="0">
      <selection activeCell="Q22" sqref="Q22"/>
    </sheetView>
  </sheetViews>
  <sheetFormatPr defaultColWidth="8.85546875" defaultRowHeight="15" x14ac:dyDescent="0.25"/>
  <cols>
    <col min="1" max="1" width="33.7109375" customWidth="1"/>
    <col min="3" max="3" width="17.42578125" customWidth="1"/>
    <col min="5" max="5" width="11.7109375" customWidth="1"/>
    <col min="6" max="6" width="10.42578125" customWidth="1"/>
    <col min="7" max="7" width="10.7109375" customWidth="1"/>
    <col min="8" max="9" width="10.42578125" customWidth="1"/>
    <col min="10" max="10" width="11.7109375" customWidth="1"/>
    <col min="11" max="12" width="10.42578125" customWidth="1"/>
    <col min="13" max="13" width="10.140625" customWidth="1"/>
    <col min="14" max="14" width="10.42578125" customWidth="1"/>
    <col min="15" max="15" width="10.85546875" customWidth="1"/>
    <col min="18" max="19" width="10.7109375" customWidth="1"/>
  </cols>
  <sheetData>
    <row r="1" spans="1:22" ht="16.5" thickBot="1" x14ac:dyDescent="0.3">
      <c r="G1" s="1650">
        <f>'GLOBAL INPUTS'!F55</f>
        <v>0</v>
      </c>
      <c r="H1" s="1651"/>
      <c r="I1" s="1651"/>
      <c r="J1" s="1652"/>
    </row>
    <row r="2" spans="1:22" ht="19.5" thickBot="1" x14ac:dyDescent="0.35">
      <c r="A2" s="363" t="s">
        <v>888</v>
      </c>
    </row>
    <row r="3" spans="1:22" ht="16.5" thickBot="1" x14ac:dyDescent="0.3">
      <c r="G3" s="1677" t="s">
        <v>894</v>
      </c>
      <c r="H3" s="1678"/>
      <c r="I3" s="1678"/>
      <c r="J3" s="1679"/>
      <c r="P3" s="1665" t="s">
        <v>893</v>
      </c>
      <c r="Q3" s="1666"/>
      <c r="R3" s="1666"/>
      <c r="S3" s="1666"/>
      <c r="T3" s="1666"/>
      <c r="U3" s="1666"/>
      <c r="V3" s="1667"/>
    </row>
    <row r="4" spans="1:22" ht="15.75" thickBot="1" x14ac:dyDescent="0.3">
      <c r="A4" s="404" t="s">
        <v>466</v>
      </c>
      <c r="B4" s="404" t="s">
        <v>467</v>
      </c>
      <c r="C4" s="404" t="s">
        <v>468</v>
      </c>
      <c r="D4" s="405"/>
      <c r="E4">
        <v>1</v>
      </c>
      <c r="F4" s="422" t="s">
        <v>1039</v>
      </c>
      <c r="G4" s="422"/>
      <c r="H4" s="422"/>
      <c r="I4" s="422"/>
      <c r="J4" s="422"/>
      <c r="K4" s="422"/>
      <c r="L4" s="422"/>
    </row>
    <row r="5" spans="1:22" ht="16.5" thickBot="1" x14ac:dyDescent="0.3">
      <c r="A5" s="366" t="s">
        <v>469</v>
      </c>
      <c r="B5" s="366"/>
      <c r="C5" s="366" t="s">
        <v>470</v>
      </c>
      <c r="D5" s="367">
        <f>'GLOBAL INPUTS'!F58</f>
        <v>0</v>
      </c>
      <c r="E5">
        <v>2</v>
      </c>
      <c r="F5" s="422" t="s">
        <v>889</v>
      </c>
      <c r="G5" s="422"/>
      <c r="H5" s="422"/>
      <c r="I5" s="422"/>
      <c r="J5" s="422"/>
      <c r="K5" s="422"/>
      <c r="L5" s="422"/>
      <c r="T5" s="423" t="s">
        <v>9</v>
      </c>
      <c r="U5" s="424" t="s">
        <v>10</v>
      </c>
      <c r="V5" s="425" t="s">
        <v>11</v>
      </c>
    </row>
    <row r="6" spans="1:22" ht="18" x14ac:dyDescent="0.35">
      <c r="A6" s="366" t="s">
        <v>471</v>
      </c>
      <c r="B6" s="366"/>
      <c r="C6" s="366" t="s">
        <v>472</v>
      </c>
      <c r="D6" s="367">
        <f>'GLOBAL INPUTS'!F59/100</f>
        <v>0</v>
      </c>
      <c r="E6">
        <v>3</v>
      </c>
      <c r="F6" s="426" t="s">
        <v>1038</v>
      </c>
      <c r="G6" s="422"/>
      <c r="H6" s="422"/>
      <c r="I6" s="422"/>
      <c r="J6" s="422"/>
      <c r="K6" s="422"/>
      <c r="L6" s="422"/>
      <c r="T6" s="427"/>
      <c r="U6" s="14"/>
      <c r="V6" s="428"/>
    </row>
    <row r="7" spans="1:22" ht="15.75" x14ac:dyDescent="0.25">
      <c r="S7" s="429" t="s">
        <v>890</v>
      </c>
      <c r="T7" s="427">
        <v>0</v>
      </c>
      <c r="U7" s="14">
        <v>1</v>
      </c>
      <c r="V7" s="428">
        <v>0</v>
      </c>
    </row>
    <row r="8" spans="1:22" x14ac:dyDescent="0.25">
      <c r="A8" s="404" t="s">
        <v>473</v>
      </c>
      <c r="B8" s="404" t="s">
        <v>467</v>
      </c>
      <c r="C8" s="404" t="s">
        <v>468</v>
      </c>
      <c r="D8" s="1657" t="str">
        <f>'GLOBAL INPUTS'!N57</f>
        <v>WB</v>
      </c>
      <c r="E8" s="1657"/>
      <c r="F8" s="1657"/>
      <c r="G8" s="1657" t="str">
        <f>'GLOBAL INPUTS'!N63</f>
        <v>EB</v>
      </c>
      <c r="H8" s="1657"/>
      <c r="I8" s="1657"/>
      <c r="J8" s="1657" t="str">
        <f>'GLOBAL INPUTS'!N60</f>
        <v>NB</v>
      </c>
      <c r="K8" s="1657"/>
      <c r="L8" s="1657"/>
      <c r="M8" s="1657" t="str">
        <f>'GLOBAL INPUTS'!N66</f>
        <v>SB</v>
      </c>
      <c r="N8" s="1657"/>
      <c r="O8" s="1657"/>
      <c r="T8" s="427"/>
      <c r="U8" s="14"/>
      <c r="V8" s="428"/>
    </row>
    <row r="9" spans="1:22" x14ac:dyDescent="0.25">
      <c r="A9" s="366"/>
      <c r="B9" s="366"/>
      <c r="C9" s="407"/>
      <c r="D9" s="408" t="str">
        <f>CONCATENATE(D8,"L")</f>
        <v>WBL</v>
      </c>
      <c r="E9" s="408" t="str">
        <f>CONCATENATE(D8,"T")</f>
        <v>WBT</v>
      </c>
      <c r="F9" s="408" t="str">
        <f>CONCATENATE(D8,"R")</f>
        <v>WBR</v>
      </c>
      <c r="G9" s="408" t="str">
        <f>CONCATENATE(G8,"L")</f>
        <v>EBL</v>
      </c>
      <c r="H9" s="408" t="str">
        <f>CONCATENATE(G8,"T")</f>
        <v>EBT</v>
      </c>
      <c r="I9" s="408" t="str">
        <f>CONCATENATE(G8,"R")</f>
        <v>EBR</v>
      </c>
      <c r="J9" s="408" t="str">
        <f>CONCATENATE(J8,"L")</f>
        <v>NBL</v>
      </c>
      <c r="K9" s="408" t="str">
        <f>CONCATENATE(J8,"T")</f>
        <v>NBT</v>
      </c>
      <c r="L9" s="408" t="str">
        <f>CONCATENATE(J8,"R")</f>
        <v>NBR</v>
      </c>
      <c r="M9" s="408" t="str">
        <f>CONCATENATE(M8,"L")</f>
        <v>SBL</v>
      </c>
      <c r="N9" s="408" t="str">
        <f>CONCATENATE(M8,"T")</f>
        <v>SBT</v>
      </c>
      <c r="O9" s="408" t="str">
        <f>CONCATENATE(M8,"R")</f>
        <v>SBR</v>
      </c>
      <c r="T9" s="427"/>
      <c r="U9" s="14"/>
      <c r="V9" s="428"/>
    </row>
    <row r="10" spans="1:22" x14ac:dyDescent="0.25">
      <c r="A10" s="366" t="s">
        <v>1191</v>
      </c>
      <c r="B10" s="366"/>
      <c r="C10" s="407"/>
      <c r="D10" s="44"/>
      <c r="E10" s="44"/>
      <c r="F10" s="44"/>
      <c r="G10" s="44"/>
      <c r="H10" s="44"/>
      <c r="I10" s="44"/>
      <c r="J10" s="44"/>
      <c r="K10" s="44"/>
      <c r="L10" s="44"/>
      <c r="M10" s="44"/>
      <c r="N10" s="44"/>
      <c r="O10" s="44"/>
      <c r="T10" s="427"/>
      <c r="U10" s="14"/>
      <c r="V10" s="428"/>
    </row>
    <row r="11" spans="1:22" x14ac:dyDescent="0.25">
      <c r="A11" s="366" t="s">
        <v>1192</v>
      </c>
      <c r="B11" s="366"/>
      <c r="C11" s="407"/>
      <c r="D11" s="430"/>
      <c r="E11" s="44"/>
      <c r="F11" s="431"/>
      <c r="G11" s="431"/>
      <c r="H11" s="44"/>
      <c r="I11" s="431"/>
      <c r="J11" s="431"/>
      <c r="K11" s="44"/>
      <c r="L11" s="431"/>
      <c r="M11" s="431"/>
      <c r="N11" s="44"/>
      <c r="O11" s="430"/>
      <c r="T11" s="427"/>
      <c r="U11" s="14"/>
      <c r="V11" s="428"/>
    </row>
    <row r="12" spans="1:22" ht="18" x14ac:dyDescent="0.35">
      <c r="A12" s="366" t="s">
        <v>478</v>
      </c>
      <c r="B12" s="366" t="s">
        <v>1032</v>
      </c>
      <c r="C12" s="366" t="s">
        <v>479</v>
      </c>
      <c r="D12" s="267">
        <f>'GLOBAL INPUTS'!S56</f>
        <v>0</v>
      </c>
      <c r="E12" s="267">
        <f>'GLOBAL INPUTS'!S57</f>
        <v>0</v>
      </c>
      <c r="F12" s="267">
        <f>'GLOBAL INPUTS'!S58</f>
        <v>0</v>
      </c>
      <c r="G12" s="267">
        <f>'GLOBAL INPUTS'!S62</f>
        <v>0</v>
      </c>
      <c r="H12" s="267">
        <f>'GLOBAL INPUTS'!S63</f>
        <v>0</v>
      </c>
      <c r="I12" s="267">
        <f>'GLOBAL INPUTS'!S64</f>
        <v>0</v>
      </c>
      <c r="J12" s="267">
        <f>'GLOBAL INPUTS'!S59</f>
        <v>0</v>
      </c>
      <c r="K12" s="267">
        <f>'GLOBAL INPUTS'!S60</f>
        <v>0</v>
      </c>
      <c r="L12" s="267">
        <f>'GLOBAL INPUTS'!S61</f>
        <v>0</v>
      </c>
      <c r="M12" s="267">
        <f>'GLOBAL INPUTS'!S65</f>
        <v>0</v>
      </c>
      <c r="N12" s="267">
        <f>'GLOBAL INPUTS'!S66</f>
        <v>0</v>
      </c>
      <c r="O12" s="267">
        <f>'GLOBAL INPUTS'!S67</f>
        <v>0</v>
      </c>
      <c r="S12" s="429" t="s">
        <v>891</v>
      </c>
      <c r="T12" s="427">
        <v>0</v>
      </c>
      <c r="U12" s="14">
        <v>2</v>
      </c>
      <c r="V12" s="428">
        <v>0</v>
      </c>
    </row>
    <row r="13" spans="1:22" ht="18" x14ac:dyDescent="0.35">
      <c r="A13" s="366" t="s">
        <v>480</v>
      </c>
      <c r="B13" s="366" t="s">
        <v>1032</v>
      </c>
      <c r="C13" s="366" t="s">
        <v>481</v>
      </c>
      <c r="D13" s="386" t="e">
        <f t="shared" ref="D13:O13" si="0">D12/$D$5</f>
        <v>#DIV/0!</v>
      </c>
      <c r="E13" s="386" t="e">
        <f t="shared" si="0"/>
        <v>#DIV/0!</v>
      </c>
      <c r="F13" s="386" t="e">
        <f t="shared" si="0"/>
        <v>#DIV/0!</v>
      </c>
      <c r="G13" s="386" t="e">
        <f t="shared" si="0"/>
        <v>#DIV/0!</v>
      </c>
      <c r="H13" s="386" t="e">
        <f t="shared" si="0"/>
        <v>#DIV/0!</v>
      </c>
      <c r="I13" s="386" t="e">
        <f t="shared" si="0"/>
        <v>#DIV/0!</v>
      </c>
      <c r="J13" s="386" t="e">
        <f t="shared" si="0"/>
        <v>#DIV/0!</v>
      </c>
      <c r="K13" s="386" t="e">
        <f t="shared" si="0"/>
        <v>#DIV/0!</v>
      </c>
      <c r="L13" s="386" t="e">
        <f t="shared" si="0"/>
        <v>#DIV/0!</v>
      </c>
      <c r="M13" s="386" t="e">
        <f t="shared" si="0"/>
        <v>#DIV/0!</v>
      </c>
      <c r="N13" s="386" t="e">
        <f t="shared" si="0"/>
        <v>#DIV/0!</v>
      </c>
      <c r="O13" s="386" t="e">
        <f t="shared" si="0"/>
        <v>#DIV/0!</v>
      </c>
      <c r="T13" s="427"/>
      <c r="U13" s="14"/>
      <c r="V13" s="428"/>
    </row>
    <row r="14" spans="1:22" ht="18" x14ac:dyDescent="0.35">
      <c r="A14" s="366" t="s">
        <v>482</v>
      </c>
      <c r="B14" s="366" t="s">
        <v>1033</v>
      </c>
      <c r="C14" s="366" t="s">
        <v>483</v>
      </c>
      <c r="D14" s="386" t="e">
        <f>D13*(1+$D$6)</f>
        <v>#DIV/0!</v>
      </c>
      <c r="E14" s="386" t="e">
        <f t="shared" ref="E14:O14" si="1">E13*(1+$D$6)</f>
        <v>#DIV/0!</v>
      </c>
      <c r="F14" s="386" t="e">
        <f t="shared" si="1"/>
        <v>#DIV/0!</v>
      </c>
      <c r="G14" s="386" t="e">
        <f t="shared" si="1"/>
        <v>#DIV/0!</v>
      </c>
      <c r="H14" s="386" t="e">
        <f t="shared" si="1"/>
        <v>#DIV/0!</v>
      </c>
      <c r="I14" s="386" t="e">
        <f t="shared" si="1"/>
        <v>#DIV/0!</v>
      </c>
      <c r="J14" s="386" t="e">
        <f t="shared" si="1"/>
        <v>#DIV/0!</v>
      </c>
      <c r="K14" s="386" t="e">
        <f t="shared" si="1"/>
        <v>#DIV/0!</v>
      </c>
      <c r="L14" s="386" t="e">
        <f t="shared" si="1"/>
        <v>#DIV/0!</v>
      </c>
      <c r="M14" s="386" t="e">
        <f t="shared" si="1"/>
        <v>#DIV/0!</v>
      </c>
      <c r="N14" s="386" t="e">
        <f t="shared" si="1"/>
        <v>#DIV/0!</v>
      </c>
      <c r="O14" s="386" t="e">
        <f t="shared" si="1"/>
        <v>#DIV/0!</v>
      </c>
      <c r="T14" s="427"/>
      <c r="U14" s="14"/>
      <c r="V14" s="428"/>
    </row>
    <row r="15" spans="1:22" x14ac:dyDescent="0.25">
      <c r="A15" s="366" t="s">
        <v>503</v>
      </c>
      <c r="B15" s="366" t="s">
        <v>1033</v>
      </c>
      <c r="C15" s="366" t="s">
        <v>919</v>
      </c>
      <c r="D15" s="386" t="e">
        <f>D14*'GLOBAL INPUTS'!$F$68</f>
        <v>#DIV/0!</v>
      </c>
      <c r="E15" s="386" t="e">
        <f>E14*'GLOBAL INPUTS'!$F$68</f>
        <v>#DIV/0!</v>
      </c>
      <c r="F15" s="386" t="e">
        <f>F14*'GLOBAL INPUTS'!$F$68</f>
        <v>#DIV/0!</v>
      </c>
      <c r="G15" s="386" t="e">
        <f>G14*'GLOBAL INPUTS'!$F$68</f>
        <v>#DIV/0!</v>
      </c>
      <c r="H15" s="386" t="e">
        <f>H14*'GLOBAL INPUTS'!$F$68</f>
        <v>#DIV/0!</v>
      </c>
      <c r="I15" s="386" t="e">
        <f>I14*'GLOBAL INPUTS'!$F$68</f>
        <v>#DIV/0!</v>
      </c>
      <c r="J15" s="386" t="e">
        <f>J14*'GLOBAL INPUTS'!$F$68</f>
        <v>#DIV/0!</v>
      </c>
      <c r="K15" s="386" t="e">
        <f>K14*'GLOBAL INPUTS'!$F$68</f>
        <v>#DIV/0!</v>
      </c>
      <c r="L15" s="386" t="e">
        <f>L14*'GLOBAL INPUTS'!$F$68</f>
        <v>#DIV/0!</v>
      </c>
      <c r="M15" s="386" t="e">
        <f>M14*'GLOBAL INPUTS'!$F$68</f>
        <v>#DIV/0!</v>
      </c>
      <c r="N15" s="386" t="e">
        <f>N14*'GLOBAL INPUTS'!$F$68</f>
        <v>#DIV/0!</v>
      </c>
      <c r="O15" s="386" t="e">
        <f>O14*'GLOBAL INPUTS'!$F$68</f>
        <v>#DIV/0!</v>
      </c>
      <c r="T15" s="427"/>
      <c r="U15" s="14"/>
      <c r="V15" s="428"/>
    </row>
    <row r="16" spans="1:22" ht="15.75" thickBot="1" x14ac:dyDescent="0.3">
      <c r="D16" s="31"/>
      <c r="E16" s="31"/>
      <c r="F16" s="31"/>
      <c r="G16" s="31"/>
      <c r="H16" s="31"/>
      <c r="I16" s="31"/>
      <c r="J16" s="31"/>
      <c r="K16" s="31"/>
      <c r="L16" s="31"/>
      <c r="M16" s="31"/>
      <c r="N16" s="31"/>
      <c r="O16" s="31"/>
      <c r="T16" s="427"/>
      <c r="U16" s="14"/>
      <c r="V16" s="428"/>
    </row>
    <row r="17" spans="1:22" x14ac:dyDescent="0.25">
      <c r="A17" s="404" t="s">
        <v>484</v>
      </c>
      <c r="B17" s="404" t="s">
        <v>467</v>
      </c>
      <c r="C17" s="404" t="s">
        <v>468</v>
      </c>
      <c r="D17" s="1670" t="str">
        <f>D8</f>
        <v>WB</v>
      </c>
      <c r="E17" s="1671"/>
      <c r="F17" s="1672"/>
      <c r="G17" s="1670" t="str">
        <f t="shared" ref="G17" si="2">G8</f>
        <v>EB</v>
      </c>
      <c r="H17" s="1671"/>
      <c r="I17" s="1672"/>
      <c r="J17" s="1670" t="str">
        <f t="shared" ref="J17" si="3">J8</f>
        <v>NB</v>
      </c>
      <c r="K17" s="1671"/>
      <c r="L17" s="1672"/>
      <c r="M17" s="1670" t="str">
        <f t="shared" ref="M17" si="4">M8</f>
        <v>SB</v>
      </c>
      <c r="N17" s="1671"/>
      <c r="O17" s="1672"/>
      <c r="T17" s="427"/>
      <c r="U17" s="14"/>
      <c r="V17" s="428"/>
    </row>
    <row r="18" spans="1:22" x14ac:dyDescent="0.25">
      <c r="A18" s="364"/>
      <c r="B18" s="364"/>
      <c r="C18" s="432"/>
      <c r="D18" s="433" t="s">
        <v>899</v>
      </c>
      <c r="E18" s="434" t="s">
        <v>901</v>
      </c>
      <c r="F18" s="435" t="s">
        <v>900</v>
      </c>
      <c r="G18" s="433" t="s">
        <v>899</v>
      </c>
      <c r="H18" s="434" t="s">
        <v>901</v>
      </c>
      <c r="I18" s="435" t="s">
        <v>900</v>
      </c>
      <c r="J18" s="433" t="s">
        <v>899</v>
      </c>
      <c r="K18" s="434" t="s">
        <v>901</v>
      </c>
      <c r="L18" s="435" t="s">
        <v>900</v>
      </c>
      <c r="M18" s="433" t="s">
        <v>899</v>
      </c>
      <c r="N18" s="434" t="s">
        <v>901</v>
      </c>
      <c r="O18" s="435" t="s">
        <v>900</v>
      </c>
      <c r="T18" s="427"/>
      <c r="U18" s="14"/>
      <c r="V18" s="428"/>
    </row>
    <row r="19" spans="1:22" ht="18" x14ac:dyDescent="0.35">
      <c r="A19" s="366" t="s">
        <v>485</v>
      </c>
      <c r="B19" s="366" t="s">
        <v>1033</v>
      </c>
      <c r="C19" s="358" t="s">
        <v>486</v>
      </c>
      <c r="D19" s="436" t="e">
        <f>E19</f>
        <v>#DIV/0!</v>
      </c>
      <c r="E19" s="437" t="e">
        <f>G15+J15+K15</f>
        <v>#DIV/0!</v>
      </c>
      <c r="F19" s="438" t="e">
        <f>E19</f>
        <v>#DIV/0!</v>
      </c>
      <c r="G19" s="436" t="e">
        <f>H19</f>
        <v>#DIV/0!</v>
      </c>
      <c r="H19" s="437" t="e">
        <f>D15+M15+N15</f>
        <v>#DIV/0!</v>
      </c>
      <c r="I19" s="438" t="e">
        <f>H19</f>
        <v>#DIV/0!</v>
      </c>
      <c r="J19" s="436" t="e">
        <f>K19</f>
        <v>#DIV/0!</v>
      </c>
      <c r="K19" s="437" t="e">
        <f>M15+G15+H15</f>
        <v>#DIV/0!</v>
      </c>
      <c r="L19" s="438" t="e">
        <f>K19</f>
        <v>#DIV/0!</v>
      </c>
      <c r="M19" s="436" t="e">
        <f>N19</f>
        <v>#DIV/0!</v>
      </c>
      <c r="N19" s="437" t="e">
        <f>J15+D15+E15</f>
        <v>#DIV/0!</v>
      </c>
      <c r="O19" s="438" t="e">
        <f>N19</f>
        <v>#DIV/0!</v>
      </c>
      <c r="S19" s="429" t="s">
        <v>897</v>
      </c>
      <c r="T19" s="427">
        <v>1</v>
      </c>
      <c r="U19" s="14">
        <v>1</v>
      </c>
      <c r="V19" s="428">
        <v>0</v>
      </c>
    </row>
    <row r="20" spans="1:22" ht="15.75" hidden="1" x14ac:dyDescent="0.25">
      <c r="A20" s="366"/>
      <c r="B20" s="366"/>
      <c r="D20" s="439" t="e">
        <f>IF(SUM(D10:F10)=1,"",IF(F20="TR","L",IF(F20="R","LT","LT")))</f>
        <v>#DIV/0!</v>
      </c>
      <c r="E20" s="386" t="str">
        <f>IF(SUM(D10:F10)=1,SUM(D15:F15),"")</f>
        <v/>
      </c>
      <c r="F20" s="440" t="e">
        <f>IF(E10-F10-D10=1,"",IF(E10-D10=0,IF(F15+E15&gt;D15,"TR","LTR"),IF(E10-D10=1,IF(D15+E15&gt;F15,"R","R"),IF(E10-D10=2,IF(D15&gt;E15+F15,"TR",IF(F15&gt;D15+E15,"R","TR"))))))</f>
        <v>#DIV/0!</v>
      </c>
      <c r="G20" s="439" t="e">
        <f>IF(SUM(G10:I10)=1,"",IF(I20="TR","L",IF(I20="R","LT","LT")))</f>
        <v>#DIV/0!</v>
      </c>
      <c r="H20" s="386"/>
      <c r="I20" s="440" t="e">
        <f>IF(H10-I10-G10=1,"",IF(H10-G10=0,IF(I15+H15&gt;G15,"TR","LTR"),IF(H10-G10=1,IF(G15+H15&gt;I15,"R","R"),IF(H10-G10=2,IF(G15&gt;H15+I15,"TR",IF(I15&gt;G15+H15,"R","TR"))))))</f>
        <v>#DIV/0!</v>
      </c>
      <c r="J20" s="439" t="e">
        <f>IF(SUM(J10:L10)=1,"",IF(L20="TR","L",IF(L20="R","LT","LT+")))</f>
        <v>#DIV/0!</v>
      </c>
      <c r="K20" s="386" t="str">
        <f>IF(SUM(J10:L10)=1,SUM(J15:L15),"")</f>
        <v/>
      </c>
      <c r="L20" s="440" t="e">
        <f>IF(K10-L10-J10=1,"",IF(K10-J10=0,IF(L15+K15&gt;J15,"TR","LTR"),IF(K10-J10=1,IF(J15+K15&gt;L15,"R","RM"),IF(K10-J10=2,IF(J15&gt;K15+L15,"TR",IF(L15&gt;J15+K15,"R","T-R"))))))</f>
        <v>#DIV/0!</v>
      </c>
      <c r="M20" s="439" t="e">
        <f>IF(SUM(M10:O10)=1,"",IF(O20="TR","L",IF(O20="R","LT","LT+")))</f>
        <v>#DIV/0!</v>
      </c>
      <c r="N20" s="386" t="str">
        <f>IF(SUM(M10:O10)=1,SUM(M15:O15),"")</f>
        <v/>
      </c>
      <c r="O20" s="440" t="e">
        <f>IF(N10-O10-M10=1,"",IF(N10-M10=0,IF(O15+N15&gt;M15,"TR","LTR"),IF(N10-M10=1,IF(M15+N15&gt;O15,"R","RM"),IF(N10-M10=2,IF(M15&gt;N15+O15,"TR",IF(O15&gt;M15+N15,"R","T-R"))))))</f>
        <v>#DIV/0!</v>
      </c>
      <c r="S20" s="429" t="s">
        <v>892</v>
      </c>
      <c r="T20" s="427"/>
      <c r="U20" s="14"/>
      <c r="V20" s="428"/>
    </row>
    <row r="21" spans="1:22" ht="15.75" x14ac:dyDescent="0.25">
      <c r="A21" s="366" t="s">
        <v>1193</v>
      </c>
      <c r="B21" s="366"/>
      <c r="D21" s="441" t="e">
        <f>IF(D10+E10+F10=1,0,IF(E10-D10&lt;&gt;0,0,IF(E15+F15&gt;D15,D15,(D15+E15+F15)/2.13))+IF(E10-D10&lt;&gt;1,0,IF(D15+E15&gt;F15,D15+E15,(D15+E15+F15)/2.13))+IF(E10-D10&lt;&gt;2,0,IF(D15&gt;E15+F15,D15,IF(F15&gt;D15+E15,D15+E15,(D15+E15+F15)/2.13))))</f>
        <v>#DIV/0!</v>
      </c>
      <c r="E21" s="442" t="e">
        <f>IF(D10+E10+F10&lt; 2,SUM(D15:F15),0)</f>
        <v>#DIV/0!</v>
      </c>
      <c r="F21" s="443" t="e">
        <f>SUM(D15:F15)-D21-E21</f>
        <v>#DIV/0!</v>
      </c>
      <c r="G21" s="441" t="e">
        <f>IF(G10+H10+I10=1,0,IF(H10-G10&lt;&gt;0,0,IF(H15+I15&gt;G15,G15,(G15+H15+I15)/2.13))+IF(H10-G10&lt;&gt;1,0,IF(G15+H15&gt;I15,G15+H15,(G15+H15+I15)/2.13))+IF(H10-G10&lt;&gt;2,0,IF(G15&gt;H15+I15,G15,IF(I15&gt;G15+H15,G15+H15,(G15+H15+I15)/2.13))))</f>
        <v>#DIV/0!</v>
      </c>
      <c r="H21" s="442" t="e">
        <f>IF(G10+H10+I10&lt; 2,SUM(G15:I15),0)</f>
        <v>#DIV/0!</v>
      </c>
      <c r="I21" s="443" t="e">
        <f>SUM(G15:I15)-G21-H21</f>
        <v>#DIV/0!</v>
      </c>
      <c r="J21" s="441" t="e">
        <f>IF(J10+K10+L10=1,0,IF(K10-J10&lt;&gt;0,0,IF(K15+L15&gt;J15,J15,(J15+K15+L15)/2.13))+IF(K10-J10&lt;&gt;1,0,IF(J15+K15&gt;L15,J15+K15,(J15+K15+L15)/2.13))+IF(K10-J10&lt;&gt;2,0,IF(J15&gt;K15+L15,J15,IF(L15&gt;J15+K15,J15+K15,(J15+K15+L15)/2.13))))</f>
        <v>#DIV/0!</v>
      </c>
      <c r="K21" s="442" t="e">
        <f>IF(J10+K10+L10&lt; 2,SUM(J15:L15),0)</f>
        <v>#DIV/0!</v>
      </c>
      <c r="L21" s="443" t="e">
        <f>SUM(J15:L15)-J21-K21</f>
        <v>#DIV/0!</v>
      </c>
      <c r="M21" s="441" t="e">
        <f>IF(M10+N10+O10=1,0,IF(N10-M10&lt;&gt;0,0,IF(N15+O15&gt;M15,M15,(M15+N15+O15)/2.13))+IF(N10-M10&lt;&gt;1,0,IF(M15+N15&gt;O15,M15+N15,(M15+N15+O15)/2.13))+IF(N10-M10&lt;&gt;2,0,IF(M15&gt;N15+O15,M15,IF(O15&gt;M15+N15,M15+N15,(M15+N15+O15)/2.13))))</f>
        <v>#DIV/0!</v>
      </c>
      <c r="N21" s="442" t="e">
        <f>IF(M10+N10+O10&lt; 2,SUM(M15:O15),0)</f>
        <v>#DIV/0!</v>
      </c>
      <c r="O21" s="443" t="e">
        <f>SUM(M15:O15)-M21-N21</f>
        <v>#DIV/0!</v>
      </c>
      <c r="S21" s="429"/>
      <c r="T21" s="427"/>
      <c r="U21" s="14"/>
      <c r="V21" s="428"/>
    </row>
    <row r="22" spans="1:22" x14ac:dyDescent="0.25">
      <c r="A22" s="366" t="s">
        <v>896</v>
      </c>
      <c r="B22" s="366"/>
      <c r="D22" s="439">
        <f>IF(SUM(D10:F11)=4,1350,IF(SUM(D10:F10)-E11=0,1380,1420))</f>
        <v>1380</v>
      </c>
      <c r="E22" s="386">
        <f>IF(SUM(D10:F10)&gt;1,F22,IF(E11=1,1380,1420))</f>
        <v>1420</v>
      </c>
      <c r="F22" s="439">
        <f>IF(SUM(D10:F11)=4,1420,IF(SUM(D10:F10)-E11=0,1380,1420))</f>
        <v>1380</v>
      </c>
      <c r="G22" s="439">
        <f>IF(SUM(G10:I11)=4,1350,IF(SUM(G10:I10)-H11=0,1380,1420))</f>
        <v>1380</v>
      </c>
      <c r="H22" s="386">
        <f>IF(SUM(G10:I10)&gt;1,I22,IF(H11=1,1380,1420))</f>
        <v>1420</v>
      </c>
      <c r="I22" s="439">
        <f>IF(SUM(G10:I11)=4,1420,IF(SUM(G10:I10)-H11=0,1380,1420))</f>
        <v>1380</v>
      </c>
      <c r="J22" s="439">
        <f>IF(SUM(J10:L11)=4,1350,IF(SUM(J10:L10)-K11=0,1380,1420))</f>
        <v>1380</v>
      </c>
      <c r="K22" s="386">
        <f>IF(SUM(J10:L10)&gt;1,L22,IF(K11=1,1380,1420))</f>
        <v>1420</v>
      </c>
      <c r="L22" s="439">
        <f>IF(SUM(J10:L11)=4,1420,IF(SUM(J10:L10)-K11=0,1380,1420))</f>
        <v>1380</v>
      </c>
      <c r="M22" s="439">
        <f>IF(SUM(M10:O11)=4,1350,IF(SUM(M10:O10)-N11=0,1380,1420))</f>
        <v>1380</v>
      </c>
      <c r="N22" s="386">
        <f>IF(SUM(M10:O10)&gt;1,O22,IF(N11=1,1380,1420))</f>
        <v>1420</v>
      </c>
      <c r="O22" s="444">
        <f>IF(SUM(M10:O11)=4,1420,IF(SUM(M10:O10)-N11=0,1380,1420))</f>
        <v>1380</v>
      </c>
      <c r="T22" s="427"/>
      <c r="U22" s="14"/>
      <c r="V22" s="428"/>
    </row>
    <row r="23" spans="1:22" ht="18" x14ac:dyDescent="0.35">
      <c r="A23" s="366" t="s">
        <v>489</v>
      </c>
      <c r="B23" s="366" t="s">
        <v>1033</v>
      </c>
      <c r="C23" s="358" t="s">
        <v>490</v>
      </c>
      <c r="D23" s="441" t="e">
        <f>D22*EXP(D25*D19/1000)</f>
        <v>#DIV/0!</v>
      </c>
      <c r="E23" s="441" t="e">
        <f t="shared" ref="E23:F23" si="5">E22*EXP(E25*E19/1000)</f>
        <v>#DIV/0!</v>
      </c>
      <c r="F23" s="441" t="e">
        <f t="shared" si="5"/>
        <v>#DIV/0!</v>
      </c>
      <c r="G23" s="441" t="e">
        <f t="shared" ref="G23:O23" si="6">G22*EXP(G25/1000*G19)</f>
        <v>#DIV/0!</v>
      </c>
      <c r="H23" s="442" t="e">
        <f t="shared" si="6"/>
        <v>#DIV/0!</v>
      </c>
      <c r="I23" s="443" t="e">
        <f t="shared" si="6"/>
        <v>#DIV/0!</v>
      </c>
      <c r="J23" s="441" t="e">
        <f t="shared" si="6"/>
        <v>#DIV/0!</v>
      </c>
      <c r="K23" s="442" t="e">
        <f t="shared" si="6"/>
        <v>#DIV/0!</v>
      </c>
      <c r="L23" s="443" t="e">
        <f t="shared" si="6"/>
        <v>#DIV/0!</v>
      </c>
      <c r="M23" s="441" t="e">
        <f t="shared" si="6"/>
        <v>#DIV/0!</v>
      </c>
      <c r="N23" s="442" t="e">
        <f t="shared" si="6"/>
        <v>#DIV/0!</v>
      </c>
      <c r="O23" s="443" t="e">
        <f t="shared" si="6"/>
        <v>#DIV/0!</v>
      </c>
      <c r="T23" s="427"/>
      <c r="U23" s="14"/>
      <c r="V23" s="428"/>
    </row>
    <row r="24" spans="1:22" ht="18" x14ac:dyDescent="0.35">
      <c r="A24" s="366" t="s">
        <v>491</v>
      </c>
      <c r="B24" s="366" t="s">
        <v>1032</v>
      </c>
      <c r="C24" s="358" t="s">
        <v>481</v>
      </c>
      <c r="D24" s="439" t="e">
        <f t="shared" ref="D24:O24" si="7">D21/(1+$D$6)</f>
        <v>#DIV/0!</v>
      </c>
      <c r="E24" s="386" t="e">
        <f t="shared" si="7"/>
        <v>#DIV/0!</v>
      </c>
      <c r="F24" s="440" t="e">
        <f t="shared" si="7"/>
        <v>#DIV/0!</v>
      </c>
      <c r="G24" s="439" t="e">
        <f t="shared" si="7"/>
        <v>#DIV/0!</v>
      </c>
      <c r="H24" s="386" t="e">
        <f t="shared" si="7"/>
        <v>#DIV/0!</v>
      </c>
      <c r="I24" s="440" t="e">
        <f t="shared" si="7"/>
        <v>#DIV/0!</v>
      </c>
      <c r="J24" s="439" t="e">
        <f t="shared" si="7"/>
        <v>#DIV/0!</v>
      </c>
      <c r="K24" s="386" t="e">
        <f t="shared" si="7"/>
        <v>#DIV/0!</v>
      </c>
      <c r="L24" s="440" t="e">
        <f t="shared" si="7"/>
        <v>#DIV/0!</v>
      </c>
      <c r="M24" s="439" t="e">
        <f t="shared" si="7"/>
        <v>#DIV/0!</v>
      </c>
      <c r="N24" s="386" t="e">
        <f t="shared" si="7"/>
        <v>#DIV/0!</v>
      </c>
      <c r="O24" s="440" t="e">
        <f t="shared" si="7"/>
        <v>#DIV/0!</v>
      </c>
      <c r="T24" s="427"/>
      <c r="U24" s="14"/>
      <c r="V24" s="428"/>
    </row>
    <row r="25" spans="1:22" x14ac:dyDescent="0.25">
      <c r="A25" s="366" t="s">
        <v>925</v>
      </c>
      <c r="B25" s="366"/>
      <c r="C25" s="358"/>
      <c r="D25" s="445" t="e">
        <f>IF(D21=0,0,IF(E11=1,-0.91,-0.92))</f>
        <v>#DIV/0!</v>
      </c>
      <c r="E25" s="390" t="e">
        <f>IF(E21=0,0,IF(E11=1,-1.02,-0.85))</f>
        <v>#DIV/0!</v>
      </c>
      <c r="F25" s="445" t="e">
        <f>IF(F21=0,0,IF(E11=1,-0.91,-0.85))</f>
        <v>#DIV/0!</v>
      </c>
      <c r="G25" s="445" t="e">
        <f>IF(G21=0,0,IF(H11=1,-0.91,-0.92))</f>
        <v>#DIV/0!</v>
      </c>
      <c r="H25" s="390" t="e">
        <f>IF(H21=0,0,IF(H11=1,-1.02,-0.85))</f>
        <v>#DIV/0!</v>
      </c>
      <c r="I25" s="445" t="e">
        <f>IF(I21=0,0,IF(H11=1,-0.91,-0.85))</f>
        <v>#DIV/0!</v>
      </c>
      <c r="J25" s="445" t="e">
        <f>IF(J21=0,0,IF(K11=1,-0.91,-0.92))</f>
        <v>#DIV/0!</v>
      </c>
      <c r="K25" s="390" t="e">
        <f>IF(K21=0,0,IF(K11=1,-1.02,-0.85))</f>
        <v>#DIV/0!</v>
      </c>
      <c r="L25" s="445" t="e">
        <f>IF(L21=0,0,IF(K11=1,-0.91,-0.85))</f>
        <v>#DIV/0!</v>
      </c>
      <c r="M25" s="445" t="e">
        <f>IF(M21=0,0,IF(N11=1,-0.91,-0.92))</f>
        <v>#DIV/0!</v>
      </c>
      <c r="N25" s="390" t="e">
        <f>IF(N21=0,0,IF(N11=1,-1.02,-0.85))</f>
        <v>#DIV/0!</v>
      </c>
      <c r="O25" s="446" t="e">
        <f>IF(O21=0,0,IF(N11=1,-0.91,-0.85))</f>
        <v>#DIV/0!</v>
      </c>
      <c r="T25" s="427"/>
      <c r="U25" s="14"/>
      <c r="V25" s="428"/>
    </row>
    <row r="26" spans="1:22" ht="18" x14ac:dyDescent="0.35">
      <c r="A26" s="366" t="s">
        <v>492</v>
      </c>
      <c r="B26" s="366" t="s">
        <v>1032</v>
      </c>
      <c r="C26" s="358" t="s">
        <v>493</v>
      </c>
      <c r="D26" s="447" t="e">
        <f>D23/(1+$D$6)</f>
        <v>#DIV/0!</v>
      </c>
      <c r="E26" s="448" t="e">
        <f t="shared" ref="E26:O26" si="8">E23/(1+$D$6)</f>
        <v>#DIV/0!</v>
      </c>
      <c r="F26" s="449" t="e">
        <f t="shared" si="8"/>
        <v>#DIV/0!</v>
      </c>
      <c r="G26" s="447" t="e">
        <f t="shared" si="8"/>
        <v>#DIV/0!</v>
      </c>
      <c r="H26" s="448" t="e">
        <f t="shared" si="8"/>
        <v>#DIV/0!</v>
      </c>
      <c r="I26" s="449" t="e">
        <f t="shared" si="8"/>
        <v>#DIV/0!</v>
      </c>
      <c r="J26" s="447" t="e">
        <f t="shared" si="8"/>
        <v>#DIV/0!</v>
      </c>
      <c r="K26" s="448" t="e">
        <f t="shared" si="8"/>
        <v>#DIV/0!</v>
      </c>
      <c r="L26" s="449" t="e">
        <f t="shared" si="8"/>
        <v>#DIV/0!</v>
      </c>
      <c r="M26" s="447" t="e">
        <f t="shared" si="8"/>
        <v>#DIV/0!</v>
      </c>
      <c r="N26" s="448" t="e">
        <f t="shared" si="8"/>
        <v>#DIV/0!</v>
      </c>
      <c r="O26" s="449" t="e">
        <f t="shared" si="8"/>
        <v>#DIV/0!</v>
      </c>
      <c r="T26" s="427"/>
      <c r="U26" s="14"/>
      <c r="V26" s="428"/>
    </row>
    <row r="27" spans="1:22" x14ac:dyDescent="0.25">
      <c r="A27" s="366" t="s">
        <v>494</v>
      </c>
      <c r="B27" s="366"/>
      <c r="C27" s="358" t="s">
        <v>495</v>
      </c>
      <c r="D27" s="450" t="e">
        <f>D24/D26</f>
        <v>#DIV/0!</v>
      </c>
      <c r="E27" s="388" t="e">
        <f t="shared" ref="E27:N27" si="9">E24/E26</f>
        <v>#DIV/0!</v>
      </c>
      <c r="F27" s="360" t="e">
        <f t="shared" si="9"/>
        <v>#DIV/0!</v>
      </c>
      <c r="G27" s="450" t="e">
        <f t="shared" si="9"/>
        <v>#DIV/0!</v>
      </c>
      <c r="H27" s="388" t="e">
        <f t="shared" si="9"/>
        <v>#DIV/0!</v>
      </c>
      <c r="I27" s="360" t="e">
        <f>I24/I26</f>
        <v>#DIV/0!</v>
      </c>
      <c r="J27" s="450" t="e">
        <f t="shared" si="9"/>
        <v>#DIV/0!</v>
      </c>
      <c r="K27" s="388" t="e">
        <f t="shared" si="9"/>
        <v>#DIV/0!</v>
      </c>
      <c r="L27" s="360" t="e">
        <f t="shared" si="9"/>
        <v>#DIV/0!</v>
      </c>
      <c r="M27" s="450" t="e">
        <f t="shared" si="9"/>
        <v>#DIV/0!</v>
      </c>
      <c r="N27" s="388" t="e">
        <f t="shared" si="9"/>
        <v>#DIV/0!</v>
      </c>
      <c r="O27" s="451" t="e">
        <f>O24/O26</f>
        <v>#DIV/0!</v>
      </c>
      <c r="T27" s="427"/>
      <c r="U27" s="14"/>
      <c r="V27" s="428"/>
    </row>
    <row r="28" spans="1:22" ht="16.5" thickBot="1" x14ac:dyDescent="0.3">
      <c r="A28" s="366" t="s">
        <v>496</v>
      </c>
      <c r="B28" s="366" t="s">
        <v>705</v>
      </c>
      <c r="C28" s="358" t="s">
        <v>497</v>
      </c>
      <c r="D28" s="452" t="e">
        <f>IF(D21=0,0,3600/D23+225*(D27-1+SQRT((D27-1)^2+32*D27/D23))+5*MIN(D27,1))</f>
        <v>#DIV/0!</v>
      </c>
      <c r="E28" s="388" t="e">
        <f>IF(E24=0,0,3600/E23+225*(E27-1+SQRT((E27-1)^2+32*E27/E23))+5*MIN(E27,1))</f>
        <v>#DIV/0!</v>
      </c>
      <c r="F28" s="453" t="e">
        <f>IF(F21=0,0,3600/F23+225*(F27-1+SQRT((F27-1)^2+32*F27/F23))+5*MIN(F27,1))</f>
        <v>#DIV/0!</v>
      </c>
      <c r="G28" s="452" t="e">
        <f>IF(G21=0,0,3600/G23+225*(G27-1+SQRT((G27-1)^2+32*G27/G23))+5*MIN(G27,1))</f>
        <v>#DIV/0!</v>
      </c>
      <c r="H28" s="388" t="e">
        <f>IF(H24=0,0,3600/H23+225*(H27-1+SQRT((H27-1)^2+32*H27/H23))+5*MIN(H27,1))</f>
        <v>#DIV/0!</v>
      </c>
      <c r="I28" s="453" t="e">
        <f>IF(I21=0,0,3600/I23+225*(I27-1+SQRT((I27-1)^2+32*I27/I23))+5*MIN(I27,1))</f>
        <v>#DIV/0!</v>
      </c>
      <c r="J28" s="452" t="e">
        <f>IF(J21=0,0,3600/J23+225*(J27-1+SQRT((J27-1)^2+32*J27/J23))+5*MIN(J27,1))</f>
        <v>#DIV/0!</v>
      </c>
      <c r="K28" s="388" t="e">
        <f>IF(K24=0,0,3600/K23+225*(K27-1+SQRT((K27-1)^2+32*K27/K23))+5*MIN(K27,1))</f>
        <v>#DIV/0!</v>
      </c>
      <c r="L28" s="453" t="e">
        <f>IF(L21=0,0,3600/L23+225*(L27-1+SQRT((L27-1)^2+32*L27/L23))+5*MIN(L27,1))</f>
        <v>#DIV/0!</v>
      </c>
      <c r="M28" s="452" t="e">
        <f>IF(M21=0,0,3600/M23+225*(M27-1+SQRT((M27-1)^2+32*M27/M23))+5*MIN(M27,1))</f>
        <v>#DIV/0!</v>
      </c>
      <c r="N28" s="388" t="e">
        <f>IF(N24=0,0,3600/N23+225*(N27-1+SQRT((N27-1)^2+32*N27/N23))+5*MIN(N27,1))</f>
        <v>#DIV/0!</v>
      </c>
      <c r="O28" s="453" t="e">
        <f t="shared" ref="O28" si="10">3600/O23+225*(O27-1+SQRT((O27-1)^2+32*O27/O23))+5*MIN(O27,1)</f>
        <v>#DIV/0!</v>
      </c>
      <c r="S28" s="429" t="s">
        <v>898</v>
      </c>
      <c r="T28" s="454">
        <v>0</v>
      </c>
      <c r="U28" s="455">
        <v>1</v>
      </c>
      <c r="V28" s="456">
        <v>1</v>
      </c>
    </row>
    <row r="29" spans="1:22" ht="15.75" thickBot="1" x14ac:dyDescent="0.3">
      <c r="A29" s="366" t="s">
        <v>498</v>
      </c>
      <c r="B29" s="366"/>
      <c r="C29" s="358" t="s">
        <v>72</v>
      </c>
      <c r="D29" s="457" t="e">
        <f>VLOOKUP(D28,$D$34:$E$39,2,TRUE)</f>
        <v>#DIV/0!</v>
      </c>
      <c r="E29" s="458" t="e">
        <f t="shared" ref="E29:O29" si="11">VLOOKUP(E28,$D$34:$E$39,2,TRUE)</f>
        <v>#DIV/0!</v>
      </c>
      <c r="F29" s="459" t="e">
        <f t="shared" si="11"/>
        <v>#DIV/0!</v>
      </c>
      <c r="G29" s="457" t="e">
        <f t="shared" si="11"/>
        <v>#DIV/0!</v>
      </c>
      <c r="H29" s="458" t="e">
        <f t="shared" si="11"/>
        <v>#DIV/0!</v>
      </c>
      <c r="I29" s="459" t="e">
        <f t="shared" si="11"/>
        <v>#DIV/0!</v>
      </c>
      <c r="J29" s="457" t="e">
        <f t="shared" si="11"/>
        <v>#DIV/0!</v>
      </c>
      <c r="K29" s="458" t="e">
        <f t="shared" si="11"/>
        <v>#DIV/0!</v>
      </c>
      <c r="L29" s="459" t="e">
        <f t="shared" si="11"/>
        <v>#DIV/0!</v>
      </c>
      <c r="M29" s="457" t="e">
        <f t="shared" si="11"/>
        <v>#DIV/0!</v>
      </c>
      <c r="N29" s="458" t="e">
        <f t="shared" si="11"/>
        <v>#DIV/0!</v>
      </c>
      <c r="O29" s="459" t="e">
        <f t="shared" si="11"/>
        <v>#DIV/0!</v>
      </c>
    </row>
    <row r="30" spans="1:22" ht="20.25" thickBot="1" x14ac:dyDescent="0.4">
      <c r="A30" s="366" t="s">
        <v>499</v>
      </c>
      <c r="B30" s="366" t="s">
        <v>705</v>
      </c>
      <c r="C30" s="460" t="s">
        <v>677</v>
      </c>
      <c r="D30" s="1673" t="e">
        <f>SUMPRODUCT(D21:O21,D28:O28)/SUM(D21:O21)</f>
        <v>#DIV/0!</v>
      </c>
      <c r="E30" s="1674"/>
      <c r="F30" s="1674"/>
      <c r="G30" s="1674"/>
      <c r="H30" s="1674"/>
      <c r="I30" s="1674"/>
      <c r="J30" s="1674"/>
      <c r="K30" s="1674"/>
      <c r="L30" s="1674"/>
      <c r="M30" s="1674"/>
      <c r="N30" s="1674"/>
      <c r="O30" s="1675"/>
    </row>
    <row r="31" spans="1:22" ht="18.75" x14ac:dyDescent="0.3">
      <c r="A31" s="366" t="s">
        <v>505</v>
      </c>
      <c r="E31" s="1668" t="e">
        <f>VLOOKUP(D30,$D$34:$E$39,2,TRUE)</f>
        <v>#DIV/0!</v>
      </c>
      <c r="F31" s="1669"/>
    </row>
    <row r="33" spans="1:15" ht="15.75" x14ac:dyDescent="0.25">
      <c r="A33" s="15" t="s">
        <v>500</v>
      </c>
      <c r="D33" s="366" t="s">
        <v>504</v>
      </c>
      <c r="E33" s="366" t="s">
        <v>72</v>
      </c>
      <c r="G33" s="31"/>
      <c r="L33" s="1676"/>
      <c r="M33" s="1676"/>
      <c r="N33" s="1676"/>
      <c r="O33" s="1676"/>
    </row>
    <row r="34" spans="1:15" x14ac:dyDescent="0.25">
      <c r="A34" t="s">
        <v>501</v>
      </c>
      <c r="D34" s="267">
        <v>0</v>
      </c>
      <c r="E34" s="267" t="s">
        <v>16</v>
      </c>
      <c r="G34" s="399"/>
    </row>
    <row r="35" spans="1:15" x14ac:dyDescent="0.25">
      <c r="A35" t="s">
        <v>502</v>
      </c>
      <c r="D35" s="386">
        <v>10</v>
      </c>
      <c r="E35" s="267" t="s">
        <v>17</v>
      </c>
      <c r="G35" s="399"/>
    </row>
    <row r="36" spans="1:15" x14ac:dyDescent="0.25">
      <c r="A36" t="s">
        <v>1034</v>
      </c>
      <c r="D36" s="267">
        <v>15</v>
      </c>
      <c r="E36" s="267" t="s">
        <v>18</v>
      </c>
      <c r="G36" s="31"/>
    </row>
    <row r="37" spans="1:15" x14ac:dyDescent="0.25">
      <c r="D37" s="267">
        <v>25</v>
      </c>
      <c r="E37" s="267" t="s">
        <v>19</v>
      </c>
      <c r="F37" t="s">
        <v>885</v>
      </c>
      <c r="G37" s="275" t="e">
        <f>MAX(D27:O27)</f>
        <v>#DIV/0!</v>
      </c>
    </row>
    <row r="38" spans="1:15" x14ac:dyDescent="0.25">
      <c r="D38" s="267">
        <v>35</v>
      </c>
      <c r="E38" s="267" t="s">
        <v>20</v>
      </c>
      <c r="G38" s="400"/>
    </row>
    <row r="39" spans="1:15" x14ac:dyDescent="0.25">
      <c r="D39" s="267">
        <v>50</v>
      </c>
      <c r="E39" s="267" t="s">
        <v>21</v>
      </c>
    </row>
    <row r="40" spans="1:15" x14ac:dyDescent="0.25">
      <c r="G40" s="31"/>
    </row>
  </sheetData>
  <sheetProtection algorithmName="SHA-512" hashValue="W8MO/MV10CK5Ink2lOzdik4z8YOe1N+9umdUrjfBi4JfoSkWppFlQ40qjwFvZeSjad5HKc/IVQGuWaubfIPMWw==" saltValue="cCJgVKvnSp9o+LE92t1RXg==" spinCount="100000" sheet="1" objects="1" scenarios="1"/>
  <mergeCells count="14">
    <mergeCell ref="L33:O33"/>
    <mergeCell ref="G1:J1"/>
    <mergeCell ref="G3:J3"/>
    <mergeCell ref="D8:F8"/>
    <mergeCell ref="G8:I8"/>
    <mergeCell ref="J8:L8"/>
    <mergeCell ref="M8:O8"/>
    <mergeCell ref="P3:V3"/>
    <mergeCell ref="E31:F31"/>
    <mergeCell ref="D17:F17"/>
    <mergeCell ref="G17:I17"/>
    <mergeCell ref="J17:L17"/>
    <mergeCell ref="M17:O17"/>
    <mergeCell ref="D30:O30"/>
  </mergeCells>
  <conditionalFormatting sqref="D27:O27">
    <cfRule type="cellIs" dxfId="92" priority="1" operator="greaterThan">
      <formula>1</formula>
    </cfRule>
  </conditionalFormatting>
  <conditionalFormatting sqref="E31:F31">
    <cfRule type="cellIs" dxfId="91" priority="2" operator="equal">
      <formula>"F"</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2DA8633538C3408846056CC14BDE88" ma:contentTypeVersion="11" ma:contentTypeDescription="Create a new document." ma:contentTypeScope="" ma:versionID="605a55ef1b0f5960fa4a4524dcc3466d">
  <xsd:schema xmlns:xsd="http://www.w3.org/2001/XMLSchema" xmlns:xs="http://www.w3.org/2001/XMLSchema" xmlns:p="http://schemas.microsoft.com/office/2006/metadata/properties" xmlns:ns3="634199a0-f12b-4213-8ecc-6e8b4108e26b" targetNamespace="http://schemas.microsoft.com/office/2006/metadata/properties" ma:root="true" ma:fieldsID="8319324ae044c9cdd4548ac35184a9a1" ns3:_="">
    <xsd:import namespace="634199a0-f12b-4213-8ecc-6e8b4108e26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4199a0-f12b-4213-8ecc-6e8b4108e2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EAB3D2-FA06-40AB-A92A-A999BDC5B7F5}">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634199a0-f12b-4213-8ecc-6e8b4108e26b"/>
    <ds:schemaRef ds:uri="http://www.w3.org/XML/1998/namespace"/>
  </ds:schemaRefs>
</ds:datastoreItem>
</file>

<file path=customXml/itemProps2.xml><?xml version="1.0" encoding="utf-8"?>
<ds:datastoreItem xmlns:ds="http://schemas.openxmlformats.org/officeDocument/2006/customXml" ds:itemID="{AE3FA2AC-B9B4-44DD-923E-5A9E46F6F4A9}">
  <ds:schemaRefs>
    <ds:schemaRef ds:uri="http://schemas.microsoft.com/sharepoint/v3/contenttype/forms"/>
  </ds:schemaRefs>
</ds:datastoreItem>
</file>

<file path=customXml/itemProps3.xml><?xml version="1.0" encoding="utf-8"?>
<ds:datastoreItem xmlns:ds="http://schemas.openxmlformats.org/officeDocument/2006/customXml" ds:itemID="{BF139401-C7E4-499B-B489-D5BD8BE05A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4199a0-f12b-4213-8ecc-6e8b4108e2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Overview</vt:lpstr>
      <vt:lpstr>READ ME</vt:lpstr>
      <vt:lpstr>GLOBAL INPUTS</vt:lpstr>
      <vt:lpstr> SUMMARY OUTPUT</vt:lpstr>
      <vt:lpstr>SIGNAL</vt:lpstr>
      <vt:lpstr>TWSC</vt:lpstr>
      <vt:lpstr>TWSC-CALCS</vt:lpstr>
      <vt:lpstr>SL-ROUND</vt:lpstr>
      <vt:lpstr>ML-ROUND</vt:lpstr>
      <vt:lpstr>AWSC-SINGLE LANE</vt:lpstr>
      <vt:lpstr>RCUT</vt:lpstr>
      <vt:lpstr>MUT</vt:lpstr>
      <vt:lpstr>PMUT</vt:lpstr>
      <vt:lpstr>DDI</vt:lpstr>
      <vt:lpstr>DLT</vt:lpstr>
      <vt:lpstr>QRI-28</vt:lpstr>
      <vt:lpstr>QRI-24</vt:lpstr>
      <vt:lpstr>QRI-64</vt:lpstr>
      <vt:lpstr>QRI-68</vt:lpstr>
      <vt:lpstr>Jugh-F</vt:lpstr>
      <vt:lpstr>Jugh-R</vt:lpstr>
      <vt:lpstr>CONT-G-T</vt:lpstr>
      <vt:lpstr>BOWTIE</vt:lpstr>
      <vt:lpstr>ArrivalType</vt:lpstr>
      <vt:lpstr>EBleftLanes</vt:lpstr>
      <vt:lpstr>EBrightLanes</vt:lpstr>
      <vt:lpstr>NBleftLanes</vt:lpstr>
      <vt:lpstr>Parking</vt:lpstr>
      <vt:lpstr>ParkingFactors</vt:lpstr>
      <vt:lpstr>Peds</vt:lpstr>
      <vt:lpstr>SBleftLanes</vt:lpstr>
      <vt:lpstr>WBleftLanes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NAGUI</dc:creator>
  <cp:lastModifiedBy>Ryan Hoyt</cp:lastModifiedBy>
  <dcterms:created xsi:type="dcterms:W3CDTF">2022-01-14T16:49:33Z</dcterms:created>
  <dcterms:modified xsi:type="dcterms:W3CDTF">2025-02-11T12:44:32Z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0x010100A92DA8633538C3408846056CC14BDE88</vt:lpwstr>
  </property>
</Properties>
</file>