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OTD-Statewide.swe.la.gov\HD_DOTD\22Users\00229631\Desktop\"/>
    </mc:Choice>
  </mc:AlternateContent>
  <bookViews>
    <workbookView xWindow="0" yWindow="0" windowWidth="25200" windowHeight="11895" activeTab="2"/>
  </bookViews>
  <sheets>
    <sheet name="Density &amp; Moisture" sheetId="10" r:id="rId1"/>
    <sheet name="D&amp;M Meth B Comp" sheetId="11" state="hidden" r:id="rId2"/>
    <sheet name="D&amp;M Method 415B" sheetId="12" r:id="rId3"/>
    <sheet name="Density &amp; Moisture TR418" sheetId="13" r:id="rId4"/>
    <sheet name="418 Helper" sheetId="15" state="hidden" r:id="rId5"/>
    <sheet name="D&amp;M Method 418" sheetId="14" r:id="rId6"/>
    <sheet name="Soil Classification" sheetId="6" r:id="rId7"/>
    <sheet name="Traingular Chart" sheetId="8" r:id="rId8"/>
    <sheet name="Compaction Report" sheetId="9" r:id="rId9"/>
    <sheet name="Aggregate Test Report" sheetId="1" r:id="rId10"/>
    <sheet name="App Spec Grav" sheetId="2" r:id="rId11"/>
    <sheet name="Gradation Curve (Large)" sheetId="4" r:id="rId12"/>
    <sheet name="Gradation Curve (Small)" sheetId="5" r:id="rId13"/>
  </sheets>
  <definedNames>
    <definedName name="DWD_418">OFFSET('418 Helper'!$C$10,0,0,1,'418 Helper'!$J$3)</definedName>
    <definedName name="DWD_fit">OFFSET('418 Helper'!$AA$4,0,0,'418 Helper'!$AA$2,1)</definedName>
    <definedName name="DWD_MC">OFFSET('418 Helper'!$U$4,0,0,'418 Helper'!$AA$2,1)</definedName>
    <definedName name="DWD_y">OFFSET('Soil Classification'!$V$246,0,0,'Soil Classification'!$W$246,1)</definedName>
    <definedName name="Fit_x">OFFSET('D&amp;M Meth B Comp'!$H$11,'D&amp;M Meth B Comp'!$M$15,0,'D&amp;M Meth B Comp'!$N$15,1)</definedName>
    <definedName name="Fit_y">OFFSET('D&amp;M Meth B Comp'!$I$11,'D&amp;M Meth B Comp'!$M$15,0,'D&amp;M Meth B Comp'!$N$15,1)</definedName>
    <definedName name="MC_418">OFFSET('418 Helper'!$C$8,0,0,1,'418 Helper'!$J$3)</definedName>
    <definedName name="_xlnm.Print_Area" localSheetId="9">'Aggregate Test Report'!$A$1:$AT$146</definedName>
    <definedName name="_xlnm.Print_Area" localSheetId="10">'App Spec Grav'!$A$1:$O$37</definedName>
    <definedName name="_xlnm.Print_Area" localSheetId="0">'Density &amp; Moisture'!$A$1:$AT$218</definedName>
    <definedName name="_xlnm.Print_Area" localSheetId="3">'Density &amp; Moisture TR418'!$A$1:$AF$58</definedName>
    <definedName name="_xlnm.Print_Area" localSheetId="6">'Soil Classification'!$A$1:$AT$243</definedName>
    <definedName name="WWD_418">OFFSET('418 Helper'!$C$9,0,0,1,'418 Helper'!$J$3)</definedName>
    <definedName name="WWD_fit">OFFSET('418 Helper'!$S$4,0,0,'418 Helper'!$S$2,1)</definedName>
    <definedName name="WWD_MC">OFFSET('418 Helper'!$M$4,0,0,'418 Helper'!$S$2,1)</definedName>
    <definedName name="WWD_X">OFFSET('Soil Classification'!$T$246,0,0,'Soil Classification'!$W$246,1)</definedName>
    <definedName name="WWD_y">OFFSET('Soil Classification'!$U$246,0,0,'Soil Classification'!$W$246,1)</definedName>
  </definedNames>
  <calcPr calcId="162913"/>
</workbook>
</file>

<file path=xl/calcChain.xml><?xml version="1.0" encoding="utf-8"?>
<calcChain xmlns="http://schemas.openxmlformats.org/spreadsheetml/2006/main">
  <c r="M15" i="11" l="1"/>
  <c r="N15" i="11"/>
  <c r="H12" i="11" l="1"/>
  <c r="I12" i="11"/>
  <c r="H13" i="11"/>
  <c r="I13" i="11"/>
  <c r="H14" i="11"/>
  <c r="I14" i="11"/>
  <c r="H15" i="11"/>
  <c r="I15" i="11"/>
  <c r="H16" i="11"/>
  <c r="I16" i="11"/>
  <c r="H17" i="11"/>
  <c r="I17" i="11"/>
  <c r="H18" i="11"/>
  <c r="I18" i="11"/>
  <c r="H19" i="11"/>
  <c r="I19" i="11"/>
  <c r="H20" i="11"/>
  <c r="I20" i="11"/>
  <c r="H21" i="11"/>
  <c r="I21" i="11"/>
  <c r="H22" i="11"/>
  <c r="H23" i="11"/>
  <c r="H24" i="11"/>
  <c r="H25" i="11"/>
  <c r="H26" i="11"/>
  <c r="H27" i="11"/>
  <c r="H28" i="11"/>
  <c r="H29" i="11"/>
  <c r="H30" i="11"/>
  <c r="H31" i="11"/>
  <c r="H32" i="11"/>
  <c r="I32" i="11"/>
  <c r="H33" i="11"/>
  <c r="I33" i="11"/>
  <c r="H34" i="11"/>
  <c r="I34" i="11"/>
  <c r="H35" i="11"/>
  <c r="I35" i="11"/>
  <c r="H36" i="11"/>
  <c r="I36" i="11"/>
  <c r="H37" i="11"/>
  <c r="I37" i="11"/>
  <c r="H38" i="11"/>
  <c r="I38" i="11"/>
  <c r="H39" i="11"/>
  <c r="I39" i="11"/>
  <c r="H40" i="11"/>
  <c r="I40" i="11"/>
  <c r="H41" i="11"/>
  <c r="I41" i="11"/>
  <c r="H42" i="11"/>
  <c r="I42" i="11"/>
  <c r="H43" i="11"/>
  <c r="I43" i="11"/>
  <c r="H44" i="11"/>
  <c r="I44" i="11"/>
  <c r="H45" i="11"/>
  <c r="I45" i="11"/>
  <c r="H46" i="11"/>
  <c r="I46" i="11"/>
  <c r="H47" i="11"/>
  <c r="I47" i="11"/>
  <c r="H48" i="11"/>
  <c r="I48" i="11"/>
  <c r="H49" i="11"/>
  <c r="I49" i="11"/>
  <c r="H50" i="11"/>
  <c r="I50" i="11"/>
  <c r="H51" i="11"/>
  <c r="I51" i="11"/>
  <c r="H52" i="11"/>
  <c r="I52" i="11"/>
  <c r="H53" i="11"/>
  <c r="I53" i="11"/>
  <c r="H54" i="11"/>
  <c r="I54" i="11"/>
  <c r="H55" i="11"/>
  <c r="I55" i="11"/>
  <c r="H56" i="11"/>
  <c r="I56" i="11"/>
  <c r="H57" i="11"/>
  <c r="I57" i="11"/>
  <c r="H58" i="11"/>
  <c r="I58" i="11"/>
  <c r="H59" i="11"/>
  <c r="I59" i="11"/>
  <c r="H60" i="11"/>
  <c r="I60" i="11"/>
  <c r="H61" i="11"/>
  <c r="I61" i="11"/>
  <c r="H62" i="11"/>
  <c r="I62" i="11"/>
  <c r="H63" i="11"/>
  <c r="I63" i="11"/>
  <c r="H64" i="11"/>
  <c r="I64" i="11"/>
  <c r="H65" i="11"/>
  <c r="I65" i="11"/>
  <c r="H66" i="11"/>
  <c r="I66" i="11"/>
  <c r="H67" i="11"/>
  <c r="I67" i="11"/>
  <c r="H68" i="11"/>
  <c r="I68" i="11"/>
  <c r="H69" i="11"/>
  <c r="I69" i="11"/>
  <c r="H70" i="11"/>
  <c r="I70" i="11"/>
  <c r="I11" i="11"/>
  <c r="H11" i="11"/>
  <c r="D12" i="11"/>
  <c r="D13" i="11"/>
  <c r="D14" i="11"/>
  <c r="D15" i="11"/>
  <c r="G15" i="11" s="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G47" i="11" s="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G62" i="11" s="1"/>
  <c r="D63" i="11"/>
  <c r="G63" i="11" s="1"/>
  <c r="D64" i="11"/>
  <c r="D65" i="11"/>
  <c r="D66" i="11"/>
  <c r="D67" i="11"/>
  <c r="D68" i="11"/>
  <c r="D69" i="11"/>
  <c r="D70" i="11"/>
  <c r="D11" i="11"/>
  <c r="C28" i="11"/>
  <c r="C29" i="11"/>
  <c r="C30" i="11"/>
  <c r="C31" i="11"/>
  <c r="C32" i="11"/>
  <c r="C33" i="11"/>
  <c r="C34" i="11"/>
  <c r="C35" i="11"/>
  <c r="G35" i="11" s="1"/>
  <c r="C36" i="11"/>
  <c r="C37" i="11"/>
  <c r="C38" i="11"/>
  <c r="C39" i="11"/>
  <c r="C40" i="11"/>
  <c r="C41" i="11"/>
  <c r="C42" i="11"/>
  <c r="C43" i="11"/>
  <c r="G43" i="11" s="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G59" i="11" s="1"/>
  <c r="C60" i="11"/>
  <c r="C61" i="11"/>
  <c r="C62" i="11"/>
  <c r="C63" i="11"/>
  <c r="C64" i="11"/>
  <c r="C65" i="11"/>
  <c r="C66" i="11"/>
  <c r="C67" i="11"/>
  <c r="G67" i="11" s="1"/>
  <c r="C68" i="11"/>
  <c r="C69" i="11"/>
  <c r="C7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G23" i="11" s="1"/>
  <c r="C24" i="11"/>
  <c r="C25" i="11"/>
  <c r="C26" i="11"/>
  <c r="C27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11" i="11"/>
  <c r="B12" i="11"/>
  <c r="B13" i="11"/>
  <c r="B14" i="11"/>
  <c r="G14" i="11" s="1"/>
  <c r="B15" i="11"/>
  <c r="B16" i="11"/>
  <c r="B17" i="11"/>
  <c r="B18" i="11"/>
  <c r="B19" i="11"/>
  <c r="G19" i="11" s="1"/>
  <c r="B20" i="11"/>
  <c r="B21" i="11"/>
  <c r="B22" i="11"/>
  <c r="G22" i="11" s="1"/>
  <c r="B23" i="11"/>
  <c r="B24" i="11"/>
  <c r="B25" i="11"/>
  <c r="B26" i="11"/>
  <c r="G37" i="11"/>
  <c r="G57" i="11"/>
  <c r="G69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11" i="11"/>
  <c r="L15" i="11"/>
  <c r="K15" i="11"/>
  <c r="J15" i="11"/>
  <c r="G13" i="11"/>
  <c r="G18" i="11"/>
  <c r="G21" i="11"/>
  <c r="G26" i="11"/>
  <c r="G27" i="11"/>
  <c r="G29" i="11"/>
  <c r="G30" i="11"/>
  <c r="G31" i="11"/>
  <c r="G33" i="11"/>
  <c r="G34" i="11"/>
  <c r="G38" i="11"/>
  <c r="G39" i="11"/>
  <c r="G41" i="11"/>
  <c r="G42" i="11"/>
  <c r="G45" i="11"/>
  <c r="G46" i="11"/>
  <c r="G49" i="11"/>
  <c r="G50" i="11"/>
  <c r="G51" i="11"/>
  <c r="G53" i="11"/>
  <c r="G54" i="11"/>
  <c r="G55" i="11"/>
  <c r="G58" i="11"/>
  <c r="G61" i="11"/>
  <c r="G65" i="11"/>
  <c r="G66" i="11"/>
  <c r="G70" i="11"/>
  <c r="G20" i="11" l="1"/>
  <c r="G12" i="11"/>
  <c r="G68" i="11"/>
  <c r="G60" i="11"/>
  <c r="G52" i="11"/>
  <c r="G44" i="11"/>
  <c r="G36" i="11"/>
  <c r="G28" i="11"/>
  <c r="G11" i="11"/>
  <c r="G64" i="11"/>
  <c r="G56" i="11"/>
  <c r="G48" i="11"/>
  <c r="G40" i="11"/>
  <c r="G32" i="11"/>
  <c r="G25" i="11"/>
  <c r="G17" i="11"/>
  <c r="G24" i="11"/>
  <c r="G16" i="11"/>
  <c r="D8" i="11"/>
  <c r="AN108" i="10" l="1"/>
  <c r="P65" i="1" l="1"/>
  <c r="AC56" i="6" l="1"/>
  <c r="AT55" i="6" s="1"/>
  <c r="AP63" i="6" l="1"/>
  <c r="AP59" i="6"/>
  <c r="AP55" i="6"/>
  <c r="AP57" i="6"/>
  <c r="AP61" i="6"/>
  <c r="AJ163" i="6" l="1"/>
  <c r="AO43" i="6" l="1"/>
  <c r="AO51" i="6" s="1"/>
  <c r="AC43" i="6"/>
  <c r="AI43" i="6" s="1"/>
  <c r="AI51" i="6" s="1"/>
  <c r="AO47" i="6"/>
  <c r="AP51" i="6" s="1"/>
  <c r="AC47" i="6"/>
  <c r="AI47" i="6" s="1"/>
  <c r="J75" i="6"/>
  <c r="W75" i="6" s="1"/>
  <c r="AC75" i="6" s="1"/>
  <c r="AP65" i="6" s="1"/>
  <c r="J88" i="6"/>
  <c r="W78" i="6" s="1"/>
  <c r="AC78" i="6" s="1"/>
  <c r="AP67" i="6" s="1"/>
  <c r="J62" i="6"/>
  <c r="K102" i="6"/>
  <c r="K111" i="6"/>
  <c r="K123" i="6"/>
  <c r="K130" i="6"/>
  <c r="AA45" i="13"/>
  <c r="AA52" i="13" s="1"/>
  <c r="G4" i="15" s="1"/>
  <c r="X45" i="13"/>
  <c r="X52" i="13" s="1"/>
  <c r="F4" i="15" s="1"/>
  <c r="U45" i="13"/>
  <c r="U52" i="13" s="1"/>
  <c r="E4" i="15" s="1"/>
  <c r="R45" i="13"/>
  <c r="R52" i="13" s="1"/>
  <c r="D4" i="15" s="1"/>
  <c r="O45" i="13"/>
  <c r="O52" i="13" s="1"/>
  <c r="C4" i="15" s="1"/>
  <c r="O51" i="13"/>
  <c r="R51" i="13"/>
  <c r="U51" i="13"/>
  <c r="X51" i="13"/>
  <c r="X53" i="13" s="1"/>
  <c r="AA51" i="13"/>
  <c r="AA53" i="13" s="1"/>
  <c r="G3" i="15" s="1"/>
  <c r="B23" i="15" s="1"/>
  <c r="Z17" i="13"/>
  <c r="Z16" i="13"/>
  <c r="Z14" i="13"/>
  <c r="Q35" i="13"/>
  <c r="T36" i="13" s="1"/>
  <c r="T37" i="13" s="1"/>
  <c r="AD51" i="13"/>
  <c r="AD53" i="13" s="1"/>
  <c r="AD49" i="13"/>
  <c r="AA49" i="13"/>
  <c r="X49" i="13"/>
  <c r="U49" i="13"/>
  <c r="R49" i="13"/>
  <c r="O49" i="13"/>
  <c r="AD45" i="13"/>
  <c r="AD52" i="13" s="1"/>
  <c r="H4" i="15" s="1"/>
  <c r="K51" i="13"/>
  <c r="I51" i="13"/>
  <c r="A51" i="13"/>
  <c r="K52" i="13"/>
  <c r="K49" i="13"/>
  <c r="K45" i="13"/>
  <c r="I50" i="13"/>
  <c r="I49" i="13"/>
  <c r="I48" i="13"/>
  <c r="I47" i="13"/>
  <c r="I46" i="13"/>
  <c r="I45" i="13"/>
  <c r="I44" i="13"/>
  <c r="I43" i="13"/>
  <c r="I42" i="13"/>
  <c r="Q37" i="13"/>
  <c r="Q36" i="13"/>
  <c r="P37" i="13"/>
  <c r="P36" i="13"/>
  <c r="P35" i="13"/>
  <c r="P34" i="13"/>
  <c r="P33" i="13"/>
  <c r="P32" i="13"/>
  <c r="I34" i="13"/>
  <c r="L33" i="13"/>
  <c r="J32" i="13"/>
  <c r="B37" i="13"/>
  <c r="B36" i="13"/>
  <c r="B35" i="13"/>
  <c r="B34" i="13"/>
  <c r="B33" i="13"/>
  <c r="B32" i="13"/>
  <c r="Y21" i="13"/>
  <c r="AD28" i="13"/>
  <c r="Z29" i="13"/>
  <c r="V29" i="13"/>
  <c r="R28" i="13"/>
  <c r="J27" i="13"/>
  <c r="N23" i="13" s="1"/>
  <c r="E27" i="13"/>
  <c r="D26" i="13"/>
  <c r="B26" i="13"/>
  <c r="AC1" i="13"/>
  <c r="E29" i="13"/>
  <c r="D28" i="13"/>
  <c r="D29" i="13"/>
  <c r="D27" i="13"/>
  <c r="D25" i="13"/>
  <c r="D24" i="13"/>
  <c r="D23" i="13"/>
  <c r="D22" i="13"/>
  <c r="D21" i="13"/>
  <c r="B29" i="13"/>
  <c r="B28" i="13"/>
  <c r="B27" i="13"/>
  <c r="B25" i="13"/>
  <c r="B24" i="13"/>
  <c r="B23" i="13"/>
  <c r="B22" i="13"/>
  <c r="B21" i="13"/>
  <c r="Z18" i="13"/>
  <c r="W18" i="13"/>
  <c r="U18" i="13"/>
  <c r="Q18" i="13"/>
  <c r="K18" i="13"/>
  <c r="B18" i="13"/>
  <c r="W17" i="13"/>
  <c r="Q17" i="13"/>
  <c r="K17" i="13"/>
  <c r="B17" i="13"/>
  <c r="W16" i="13"/>
  <c r="Q16" i="13"/>
  <c r="K16" i="13"/>
  <c r="B16" i="13"/>
  <c r="Q15" i="13"/>
  <c r="B15" i="13"/>
  <c r="W14" i="13"/>
  <c r="Q14" i="13"/>
  <c r="B14" i="13"/>
  <c r="W13" i="13"/>
  <c r="Q13" i="13"/>
  <c r="K13" i="13"/>
  <c r="K15" i="13"/>
  <c r="K14" i="13"/>
  <c r="O18" i="13"/>
  <c r="A41" i="13"/>
  <c r="A50" i="13"/>
  <c r="A49" i="13"/>
  <c r="A48" i="13"/>
  <c r="A47" i="13"/>
  <c r="A46" i="13"/>
  <c r="S4" i="13"/>
  <c r="G120" i="1"/>
  <c r="U246" i="6"/>
  <c r="T246" i="6"/>
  <c r="AR38" i="1"/>
  <c r="AP46" i="1" s="1"/>
  <c r="AO32" i="1" s="1"/>
  <c r="AF48" i="1"/>
  <c r="AD50" i="1" s="1"/>
  <c r="AF42" i="1"/>
  <c r="AR44" i="1"/>
  <c r="AF40" i="1"/>
  <c r="AA211" i="10"/>
  <c r="AA203" i="10"/>
  <c r="AA197" i="10"/>
  <c r="U248" i="6"/>
  <c r="U247" i="6"/>
  <c r="T250" i="6"/>
  <c r="W246" i="6" s="1"/>
  <c r="T249" i="6"/>
  <c r="T248" i="6"/>
  <c r="T247" i="6"/>
  <c r="AL98" i="10"/>
  <c r="AO98" i="10"/>
  <c r="AN102" i="10" s="1"/>
  <c r="AO100" i="10"/>
  <c r="AR98" i="10"/>
  <c r="AR100" i="10"/>
  <c r="AP175" i="10"/>
  <c r="AK175" i="10"/>
  <c r="AF175" i="10"/>
  <c r="AP171" i="10"/>
  <c r="AK171" i="10"/>
  <c r="AF171" i="10"/>
  <c r="AA175" i="10"/>
  <c r="AA171" i="10"/>
  <c r="AP144" i="10"/>
  <c r="AP140" i="10"/>
  <c r="AK144" i="10"/>
  <c r="AK140" i="10"/>
  <c r="AF144" i="10"/>
  <c r="AF140" i="10"/>
  <c r="AA144" i="10"/>
  <c r="AA140" i="10"/>
  <c r="AR92" i="10"/>
  <c r="AO92" i="10"/>
  <c r="AL92" i="10"/>
  <c r="AR84" i="10"/>
  <c r="AO84" i="10"/>
  <c r="AL84" i="10"/>
  <c r="R108" i="10"/>
  <c r="Q94" i="10"/>
  <c r="Q96" i="10"/>
  <c r="Q88" i="10"/>
  <c r="Q82" i="10"/>
  <c r="Q98" i="10"/>
  <c r="R102" i="10"/>
  <c r="AL63" i="10"/>
  <c r="AL65" i="10" s="1"/>
  <c r="AC63" i="10"/>
  <c r="AC65" i="10" s="1"/>
  <c r="AC67" i="10" s="1"/>
  <c r="B3" i="11" s="1"/>
  <c r="T63" i="10"/>
  <c r="T65" i="10" s="1"/>
  <c r="A2" i="11" s="1"/>
  <c r="A11" i="11" s="1"/>
  <c r="AL55" i="10"/>
  <c r="AL57" i="10" s="1"/>
  <c r="AC55" i="10"/>
  <c r="AC57" i="10" s="1"/>
  <c r="T55" i="10"/>
  <c r="T57" i="10" s="1"/>
  <c r="AL49" i="10"/>
  <c r="AC49" i="10"/>
  <c r="A221" i="10" s="1"/>
  <c r="K104" i="6"/>
  <c r="AL124" i="6"/>
  <c r="AM222" i="6"/>
  <c r="V252" i="6"/>
  <c r="AI222" i="6"/>
  <c r="V251" i="6"/>
  <c r="AE222" i="6"/>
  <c r="V250" i="6"/>
  <c r="AA222" i="6"/>
  <c r="V249" i="6"/>
  <c r="W222" i="6"/>
  <c r="V248" i="6"/>
  <c r="S222" i="6"/>
  <c r="V247" i="6"/>
  <c r="O222" i="6"/>
  <c r="V246" i="6" s="1"/>
  <c r="A209" i="6"/>
  <c r="B209" i="6"/>
  <c r="C209" i="6"/>
  <c r="D209" i="6" s="1"/>
  <c r="E209" i="6" s="1"/>
  <c r="F209" i="6" s="1"/>
  <c r="G209" i="6" s="1"/>
  <c r="H209" i="6" s="1"/>
  <c r="I209" i="6" s="1"/>
  <c r="J209" i="6" s="1"/>
  <c r="K209" i="6" s="1"/>
  <c r="L209" i="6" s="1"/>
  <c r="M209" i="6" s="1"/>
  <c r="N209" i="6" s="1"/>
  <c r="O209" i="6" s="1"/>
  <c r="P209" i="6" s="1"/>
  <c r="Q209" i="6" s="1"/>
  <c r="R209" i="6" s="1"/>
  <c r="S209" i="6" s="1"/>
  <c r="T209" i="6" s="1"/>
  <c r="U209" i="6" s="1"/>
  <c r="V209" i="6" s="1"/>
  <c r="W209" i="6" s="1"/>
  <c r="X209" i="6" s="1"/>
  <c r="Y209" i="6" s="1"/>
  <c r="Z209" i="6" s="1"/>
  <c r="AA209" i="6" s="1"/>
  <c r="AB209" i="6" s="1"/>
  <c r="AC209" i="6" s="1"/>
  <c r="AD209" i="6" s="1"/>
  <c r="AE209" i="6" s="1"/>
  <c r="AF209" i="6" s="1"/>
  <c r="AG209" i="6" s="1"/>
  <c r="AH209" i="6" s="1"/>
  <c r="AI209" i="6" s="1"/>
  <c r="AJ209" i="6" s="1"/>
  <c r="AK209" i="6" s="1"/>
  <c r="AL209" i="6" s="1"/>
  <c r="AM209" i="6" s="1"/>
  <c r="AN209" i="6" s="1"/>
  <c r="AO209" i="6" s="1"/>
  <c r="AP209" i="6" s="1"/>
  <c r="AQ209" i="6" s="1"/>
  <c r="AR209" i="6" s="1"/>
  <c r="AS209" i="6" s="1"/>
  <c r="AT209" i="6" s="1"/>
  <c r="T252" i="6"/>
  <c r="T251" i="6"/>
  <c r="U252" i="6"/>
  <c r="U250" i="6"/>
  <c r="U249" i="6"/>
  <c r="T202" i="6"/>
  <c r="AL127" i="6"/>
  <c r="AF183" i="6"/>
  <c r="AJ159" i="6"/>
  <c r="AJ165" i="6"/>
  <c r="AL96" i="6"/>
  <c r="L165" i="6"/>
  <c r="L159" i="6"/>
  <c r="F33" i="2"/>
  <c r="F30" i="2"/>
  <c r="F34" i="2" s="1"/>
  <c r="F36" i="2"/>
  <c r="N19" i="2"/>
  <c r="N17" i="2"/>
  <c r="N20" i="2" s="1"/>
  <c r="F8" i="2"/>
  <c r="F9" i="2"/>
  <c r="F20" i="2" s="1"/>
  <c r="F14" i="2"/>
  <c r="N29" i="2"/>
  <c r="N10" i="2"/>
  <c r="N9" i="2"/>
  <c r="F17" i="2"/>
  <c r="F21" i="2"/>
  <c r="F22" i="2"/>
  <c r="U251" i="6"/>
  <c r="AL100" i="10"/>
  <c r="AC32" i="1"/>
  <c r="AP50" i="1"/>
  <c r="A220" i="10"/>
  <c r="B220" i="10" s="1"/>
  <c r="A225" i="10"/>
  <c r="A223" i="10"/>
  <c r="A227" i="10"/>
  <c r="A222" i="10"/>
  <c r="A226" i="10"/>
  <c r="A224" i="10"/>
  <c r="AQ216" i="6"/>
  <c r="AQ222" i="6"/>
  <c r="AL102" i="6" s="1"/>
  <c r="AQ219" i="6"/>
  <c r="AL99" i="6" s="1"/>
  <c r="J29" i="13" l="1"/>
  <c r="R29" i="13" s="1"/>
  <c r="V28" i="13" s="1"/>
  <c r="Z28" i="13" s="1"/>
  <c r="N25" i="13"/>
  <c r="R25" i="13" s="1"/>
  <c r="N26" i="13"/>
  <c r="R26" i="13" s="1"/>
  <c r="N27" i="13"/>
  <c r="R23" i="13"/>
  <c r="N24" i="13"/>
  <c r="R24" i="13" s="1"/>
  <c r="U53" i="13"/>
  <c r="U54" i="13" s="1"/>
  <c r="E5" i="15" s="1"/>
  <c r="R53" i="13"/>
  <c r="R54" i="13" s="1"/>
  <c r="D5" i="15" s="1"/>
  <c r="O53" i="13"/>
  <c r="C3" i="15" s="1"/>
  <c r="AA54" i="13"/>
  <c r="G5" i="15" s="1"/>
  <c r="B2" i="11"/>
  <c r="T67" i="10"/>
  <c r="A3" i="11" s="1"/>
  <c r="A8" i="11" s="1"/>
  <c r="G123" i="1"/>
  <c r="G68" i="1"/>
  <c r="T71" i="1" s="1"/>
  <c r="L167" i="6"/>
  <c r="AO89" i="6" s="1"/>
  <c r="E246" i="6" s="1"/>
  <c r="AC82" i="6"/>
  <c r="AC80" i="6" s="1"/>
  <c r="AP82" i="6" s="1"/>
  <c r="AC71" i="6"/>
  <c r="AP80" i="6"/>
  <c r="AD54" i="13"/>
  <c r="H5" i="15" s="1"/>
  <c r="H3" i="15"/>
  <c r="B24" i="15" s="1"/>
  <c r="X54" i="13"/>
  <c r="F5" i="15" s="1"/>
  <c r="F3" i="15"/>
  <c r="B22" i="15" s="1"/>
  <c r="AJ51" i="6"/>
  <c r="A12" i="11"/>
  <c r="C2" i="11"/>
  <c r="AL67" i="10"/>
  <c r="C3" i="11" s="1"/>
  <c r="K132" i="6"/>
  <c r="K113" i="6"/>
  <c r="Z229" i="6" a="1"/>
  <c r="Z230" i="6" a="1"/>
  <c r="V24" i="13" l="1"/>
  <c r="Z24" i="13" s="1"/>
  <c r="V25" i="13"/>
  <c r="Z25" i="13" s="1"/>
  <c r="V23" i="13"/>
  <c r="Z23" i="13" s="1"/>
  <c r="AD23" i="13" s="1"/>
  <c r="AD24" i="13" s="1"/>
  <c r="AD25" i="13" s="1"/>
  <c r="AD26" i="13" s="1"/>
  <c r="V26" i="13"/>
  <c r="Z26" i="13" s="1"/>
  <c r="E3" i="15"/>
  <c r="B21" i="15" s="1"/>
  <c r="D3" i="15"/>
  <c r="B20" i="15" s="1"/>
  <c r="O54" i="13"/>
  <c r="C5" i="15" s="1"/>
  <c r="B8" i="11"/>
  <c r="L117" i="1"/>
  <c r="L111" i="1"/>
  <c r="L102" i="1"/>
  <c r="T126" i="1"/>
  <c r="L114" i="1"/>
  <c r="L108" i="1"/>
  <c r="L105" i="1"/>
  <c r="L99" i="1"/>
  <c r="L93" i="1"/>
  <c r="L120" i="1"/>
  <c r="L96" i="1"/>
  <c r="L90" i="1"/>
  <c r="L87" i="1"/>
  <c r="L49" i="1"/>
  <c r="L47" i="1"/>
  <c r="L62" i="1"/>
  <c r="L45" i="1"/>
  <c r="L43" i="1"/>
  <c r="L53" i="1"/>
  <c r="L51" i="1"/>
  <c r="L41" i="1"/>
  <c r="P41" i="1" s="1"/>
  <c r="L65" i="1"/>
  <c r="L59" i="1"/>
  <c r="L56" i="1"/>
  <c r="AP86" i="6"/>
  <c r="AP84" i="6" s="1"/>
  <c r="AP73" i="6"/>
  <c r="C8" i="11"/>
  <c r="A13" i="11"/>
  <c r="J3" i="15"/>
  <c r="H8" i="15" s="1"/>
  <c r="B19" i="15"/>
  <c r="D2" i="11"/>
  <c r="E2" i="11" s="1"/>
  <c r="AA229" i="6"/>
  <c r="Z229" i="6"/>
  <c r="AB229" i="6"/>
  <c r="AC229" i="6"/>
  <c r="AD229" i="6"/>
  <c r="AD230" i="6"/>
  <c r="AC230" i="6"/>
  <c r="AB230" i="6"/>
  <c r="AA230" i="6"/>
  <c r="Z230" i="6"/>
  <c r="X92" i="6"/>
  <c r="AE94" i="6" s="1"/>
  <c r="AL89" i="6"/>
  <c r="AP71" i="6"/>
  <c r="AP69" i="6" s="1"/>
  <c r="J10" i="11" l="1"/>
  <c r="J12" i="11" s="1"/>
  <c r="H16" i="15"/>
  <c r="H15" i="15"/>
  <c r="H10" i="15"/>
  <c r="H13" i="15"/>
  <c r="H12" i="15"/>
  <c r="H9" i="15"/>
  <c r="AC86" i="6"/>
  <c r="AP75" i="6"/>
  <c r="AC84" i="6"/>
  <c r="P43" i="1"/>
  <c r="T41" i="1"/>
  <c r="X66" i="1" s="1"/>
  <c r="AP78" i="6"/>
  <c r="E257" i="6" s="1"/>
  <c r="A211" i="6"/>
  <c r="S210" i="6"/>
  <c r="T210" i="6"/>
  <c r="R210" i="6"/>
  <c r="AR210" i="6"/>
  <c r="U210" i="6"/>
  <c r="V210" i="6"/>
  <c r="G8" i="15"/>
  <c r="F8" i="15"/>
  <c r="D8" i="15"/>
  <c r="E8" i="15"/>
  <c r="C8" i="15"/>
  <c r="AF210" i="6"/>
  <c r="K210" i="6"/>
  <c r="N210" i="6"/>
  <c r="E211" i="6"/>
  <c r="A210" i="6"/>
  <c r="L210" i="6"/>
  <c r="Y210" i="6"/>
  <c r="AH210" i="6"/>
  <c r="A14" i="11"/>
  <c r="AF211" i="6"/>
  <c r="R211" i="6"/>
  <c r="AG211" i="6"/>
  <c r="AS210" i="6"/>
  <c r="I210" i="6"/>
  <c r="G210" i="6"/>
  <c r="AL210" i="6"/>
  <c r="M211" i="6"/>
  <c r="AN210" i="6"/>
  <c r="AG210" i="6"/>
  <c r="O210" i="6"/>
  <c r="M210" i="6"/>
  <c r="AK210" i="6"/>
  <c r="AB210" i="6"/>
  <c r="AI210" i="6"/>
  <c r="AC210" i="6"/>
  <c r="B210" i="6"/>
  <c r="Q210" i="6"/>
  <c r="H211" i="6"/>
  <c r="AN211" i="6"/>
  <c r="V211" i="6"/>
  <c r="J211" i="6"/>
  <c r="AL211" i="6"/>
  <c r="T211" i="6"/>
  <c r="AQ211" i="6"/>
  <c r="D211" i="6"/>
  <c r="AC211" i="6"/>
  <c r="AH211" i="6"/>
  <c r="G211" i="6"/>
  <c r="AS211" i="6"/>
  <c r="N211" i="6"/>
  <c r="B211" i="6"/>
  <c r="AE211" i="6"/>
  <c r="AO211" i="6"/>
  <c r="AE210" i="6"/>
  <c r="AP210" i="6"/>
  <c r="E210" i="6"/>
  <c r="D210" i="6"/>
  <c r="AA211" i="6"/>
  <c r="K211" i="6"/>
  <c r="O211" i="6"/>
  <c r="C211" i="6"/>
  <c r="AP211" i="6"/>
  <c r="AM210" i="6"/>
  <c r="AJ210" i="6"/>
  <c r="J210" i="6"/>
  <c r="X210" i="6"/>
  <c r="AD210" i="6"/>
  <c r="AD211" i="6"/>
  <c r="Q211" i="6"/>
  <c r="I211" i="6"/>
  <c r="F211" i="6"/>
  <c r="L211" i="6"/>
  <c r="H210" i="6"/>
  <c r="P210" i="6"/>
  <c r="AT210" i="6"/>
  <c r="C210" i="6"/>
  <c r="AQ210" i="6"/>
  <c r="AJ211" i="6"/>
  <c r="Z211" i="6"/>
  <c r="W211" i="6"/>
  <c r="S211" i="6"/>
  <c r="AK211" i="6"/>
  <c r="X211" i="6"/>
  <c r="Z210" i="6"/>
  <c r="AO210" i="6"/>
  <c r="AA210" i="6"/>
  <c r="W210" i="6"/>
  <c r="F210" i="6"/>
  <c r="U211" i="6"/>
  <c r="AI211" i="6"/>
  <c r="AM211" i="6"/>
  <c r="AR211" i="6"/>
  <c r="AB211" i="6"/>
  <c r="Y211" i="6"/>
  <c r="AT211" i="6"/>
  <c r="P211" i="6"/>
  <c r="AF181" i="6"/>
  <c r="X94" i="6"/>
  <c r="AM181" i="6"/>
  <c r="O248" i="6"/>
  <c r="R251" i="6"/>
  <c r="Q251" i="6"/>
  <c r="Q252" i="6"/>
  <c r="R252" i="6"/>
  <c r="O259" i="6"/>
  <c r="K10" i="11" l="1"/>
  <c r="P45" i="1"/>
  <c r="T43" i="1"/>
  <c r="X67" i="1" s="1"/>
  <c r="F252" i="6"/>
  <c r="E249" i="6"/>
  <c r="E255" i="6"/>
  <c r="E251" i="6"/>
  <c r="E256" i="6"/>
  <c r="E248" i="6"/>
  <c r="E247" i="6"/>
  <c r="E254" i="6"/>
  <c r="E252" i="6"/>
  <c r="E253" i="6"/>
  <c r="E258" i="6"/>
  <c r="E250" i="6"/>
  <c r="E22" i="15"/>
  <c r="F10" i="15"/>
  <c r="F9" i="15"/>
  <c r="D19" i="15"/>
  <c r="U4" i="15"/>
  <c r="C9" i="15"/>
  <c r="C19" i="15" s="1"/>
  <c r="G19" i="15"/>
  <c r="M4" i="15"/>
  <c r="E19" i="15"/>
  <c r="C10" i="15"/>
  <c r="F19" i="15" s="1"/>
  <c r="G9" i="15"/>
  <c r="G10" i="15"/>
  <c r="E23" i="15"/>
  <c r="A15" i="11"/>
  <c r="F24" i="15"/>
  <c r="G24" i="15"/>
  <c r="E24" i="15"/>
  <c r="C24" i="15"/>
  <c r="E10" i="15"/>
  <c r="E21" i="15"/>
  <c r="E9" i="15"/>
  <c r="D20" i="15"/>
  <c r="D9" i="15"/>
  <c r="E20" i="15"/>
  <c r="D10" i="15"/>
  <c r="F20" i="15" s="1"/>
  <c r="G20" i="15"/>
  <c r="M11" i="11"/>
  <c r="F253" i="6"/>
  <c r="F254" i="6"/>
  <c r="F255" i="6"/>
  <c r="F256" i="6"/>
  <c r="F257" i="6"/>
  <c r="F258" i="6"/>
  <c r="O252" i="6"/>
  <c r="O256" i="6"/>
  <c r="O249" i="6"/>
  <c r="Q245" i="6"/>
  <c r="Q246" i="6"/>
  <c r="R246" i="6"/>
  <c r="D12" i="15" l="1"/>
  <c r="G15" i="15"/>
  <c r="G12" i="15"/>
  <c r="F15" i="15"/>
  <c r="E12" i="15"/>
  <c r="F12" i="15"/>
  <c r="E15" i="15"/>
  <c r="C20" i="15"/>
  <c r="D15" i="15"/>
  <c r="P47" i="1"/>
  <c r="T45" i="1"/>
  <c r="X68" i="1" s="1"/>
  <c r="X120" i="6"/>
  <c r="A16" i="11"/>
  <c r="U5" i="15"/>
  <c r="D24" i="15"/>
  <c r="M5" i="15"/>
  <c r="Q248" i="6"/>
  <c r="Q249" i="6"/>
  <c r="O245" i="6"/>
  <c r="R249" i="6"/>
  <c r="O258" i="6"/>
  <c r="O257" i="6"/>
  <c r="O255" i="6"/>
  <c r="O246" i="6"/>
  <c r="O251" i="6"/>
  <c r="O253" i="6"/>
  <c r="O247" i="6"/>
  <c r="O250" i="6"/>
  <c r="O254" i="6"/>
  <c r="F13" i="15" l="1"/>
  <c r="C22" i="15" s="1"/>
  <c r="E13" i="15"/>
  <c r="D21" i="15" s="1"/>
  <c r="F16" i="15"/>
  <c r="F22" i="15" s="1"/>
  <c r="G13" i="15"/>
  <c r="G16" i="15"/>
  <c r="E16" i="15"/>
  <c r="P49" i="1"/>
  <c r="T47" i="1"/>
  <c r="X69" i="1" s="1"/>
  <c r="X122" i="6"/>
  <c r="M6" i="15"/>
  <c r="A17" i="11"/>
  <c r="U6" i="15"/>
  <c r="Q254" i="6"/>
  <c r="R254" i="6" s="1"/>
  <c r="G22" i="15" l="1"/>
  <c r="D22" i="15"/>
  <c r="C21" i="15"/>
  <c r="F23" i="15"/>
  <c r="G23" i="15"/>
  <c r="C23" i="15"/>
  <c r="J18" i="15" s="1"/>
  <c r="D23" i="15"/>
  <c r="G21" i="15"/>
  <c r="J23" i="15" s="1"/>
  <c r="F21" i="15"/>
  <c r="P51" i="1"/>
  <c r="T49" i="1"/>
  <c r="X70" i="1" s="1"/>
  <c r="U7" i="15"/>
  <c r="A18" i="11"/>
  <c r="M7" i="15"/>
  <c r="C27" i="15" a="1"/>
  <c r="J19" i="15" l="1"/>
  <c r="J22" i="15"/>
  <c r="D27" i="15"/>
  <c r="C27" i="15"/>
  <c r="E27" i="15"/>
  <c r="P53" i="1"/>
  <c r="T51" i="1"/>
  <c r="X71" i="1" s="1"/>
  <c r="M8" i="15"/>
  <c r="U8" i="15"/>
  <c r="A19" i="11"/>
  <c r="C36" i="15" a="1"/>
  <c r="N4" i="15"/>
  <c r="C35" i="15" a="1"/>
  <c r="N5" i="15"/>
  <c r="N7" i="15"/>
  <c r="N6" i="15"/>
  <c r="C28" i="15" a="1"/>
  <c r="C28" i="15" l="1"/>
  <c r="E28" i="15"/>
  <c r="I27" i="15" s="1"/>
  <c r="D28" i="15"/>
  <c r="H27" i="15" s="1"/>
  <c r="C36" i="15"/>
  <c r="D36" i="15"/>
  <c r="E36" i="15"/>
  <c r="E35" i="15"/>
  <c r="C35" i="15"/>
  <c r="D35" i="15"/>
  <c r="P56" i="1"/>
  <c r="T53" i="1"/>
  <c r="X72" i="1" s="1"/>
  <c r="A20" i="11"/>
  <c r="U9" i="15"/>
  <c r="M9" i="15"/>
  <c r="V6" i="15"/>
  <c r="O6" i="15"/>
  <c r="W8" i="15"/>
  <c r="V7" i="15"/>
  <c r="W6" i="15"/>
  <c r="V4" i="15"/>
  <c r="V8" i="15"/>
  <c r="W4" i="15"/>
  <c r="W5" i="15"/>
  <c r="N8" i="15"/>
  <c r="O5" i="15"/>
  <c r="O9" i="15"/>
  <c r="V5" i="15"/>
  <c r="O7" i="15"/>
  <c r="W7" i="15"/>
  <c r="O4" i="15"/>
  <c r="O8" i="15"/>
  <c r="G27" i="15" l="1"/>
  <c r="K27" i="15" s="1"/>
  <c r="K28" i="15" s="1"/>
  <c r="I35" i="15"/>
  <c r="H35" i="15"/>
  <c r="G35" i="15"/>
  <c r="P59" i="1"/>
  <c r="T56" i="1"/>
  <c r="X73" i="1" s="1"/>
  <c r="U10" i="15"/>
  <c r="A21" i="11"/>
  <c r="M10" i="15"/>
  <c r="W9" i="15"/>
  <c r="O10" i="15"/>
  <c r="V9" i="15"/>
  <c r="N9" i="15"/>
  <c r="P7" i="15" l="1"/>
  <c r="R7" i="15" s="1"/>
  <c r="S7" i="15" s="1"/>
  <c r="P5" i="15"/>
  <c r="R5" i="15" s="1"/>
  <c r="S5" i="15" s="1"/>
  <c r="P8" i="15"/>
  <c r="R8" i="15" s="1"/>
  <c r="S8" i="15" s="1"/>
  <c r="P10" i="15"/>
  <c r="P4" i="15"/>
  <c r="Q4" i="15" s="1"/>
  <c r="P9" i="15"/>
  <c r="R9" i="15" s="1"/>
  <c r="S9" i="15" s="1"/>
  <c r="P6" i="15"/>
  <c r="R6" i="15" s="1"/>
  <c r="S6" i="15" s="1"/>
  <c r="K35" i="15"/>
  <c r="T59" i="1"/>
  <c r="X74" i="1" s="1"/>
  <c r="P62" i="1"/>
  <c r="P87" i="1" s="1"/>
  <c r="A22" i="11"/>
  <c r="U11" i="15"/>
  <c r="M11" i="15"/>
  <c r="P11" i="15" s="1"/>
  <c r="V10" i="15"/>
  <c r="N10" i="15"/>
  <c r="W10" i="15"/>
  <c r="O11" i="15"/>
  <c r="R4" i="15" l="1"/>
  <c r="S4" i="15" s="1"/>
  <c r="Q5" i="15"/>
  <c r="Q6" i="15" s="1"/>
  <c r="X4" i="15"/>
  <c r="Y4" i="15" s="1"/>
  <c r="X6" i="15"/>
  <c r="Z6" i="15" s="1"/>
  <c r="AA6" i="15" s="1"/>
  <c r="X7" i="15"/>
  <c r="Z7" i="15" s="1"/>
  <c r="AA7" i="15" s="1"/>
  <c r="X8" i="15"/>
  <c r="Z8" i="15" s="1"/>
  <c r="AA8" i="15" s="1"/>
  <c r="X9" i="15"/>
  <c r="Z9" i="15" s="1"/>
  <c r="AA9" i="15" s="1"/>
  <c r="X10" i="15"/>
  <c r="Z10" i="15" s="1"/>
  <c r="AA10" i="15" s="1"/>
  <c r="X11" i="15"/>
  <c r="X5" i="15"/>
  <c r="Z5" i="15" s="1"/>
  <c r="AA5" i="15" s="1"/>
  <c r="K36" i="15"/>
  <c r="P90" i="1"/>
  <c r="T87" i="1"/>
  <c r="T62" i="1"/>
  <c r="X75" i="1" s="1"/>
  <c r="R10" i="15"/>
  <c r="S10" i="15" s="1"/>
  <c r="U12" i="15"/>
  <c r="X12" i="15" s="1"/>
  <c r="A23" i="11"/>
  <c r="M12" i="15"/>
  <c r="P12" i="15" s="1"/>
  <c r="O12" i="15"/>
  <c r="V11" i="15"/>
  <c r="N11" i="15"/>
  <c r="W11" i="15"/>
  <c r="Q7" i="15" l="1"/>
  <c r="Q8" i="15" s="1"/>
  <c r="Q9" i="15" s="1"/>
  <c r="Z4" i="15"/>
  <c r="AA4" i="15" s="1"/>
  <c r="Y5" i="15"/>
  <c r="Y6" i="15" s="1"/>
  <c r="Y7" i="15" s="1"/>
  <c r="P93" i="1"/>
  <c r="T90" i="1"/>
  <c r="X95" i="1"/>
  <c r="Z11" i="15"/>
  <c r="AA11" i="15" s="1"/>
  <c r="M13" i="15"/>
  <c r="P13" i="15" s="1"/>
  <c r="U13" i="15"/>
  <c r="X13" i="15" s="1"/>
  <c r="A24" i="11"/>
  <c r="R11" i="15"/>
  <c r="S11" i="15" s="1"/>
  <c r="W12" i="15"/>
  <c r="V12" i="15"/>
  <c r="O13" i="15"/>
  <c r="N12" i="15"/>
  <c r="Y8" i="15" l="1"/>
  <c r="Y9" i="15" s="1"/>
  <c r="Q10" i="15"/>
  <c r="T93" i="1"/>
  <c r="P96" i="1"/>
  <c r="X96" i="1"/>
  <c r="Z12" i="15"/>
  <c r="U14" i="15"/>
  <c r="X14" i="15" s="1"/>
  <c r="A25" i="11"/>
  <c r="R12" i="15"/>
  <c r="S12" i="15" s="1"/>
  <c r="M14" i="15"/>
  <c r="P14" i="15" s="1"/>
  <c r="W13" i="15"/>
  <c r="O14" i="15"/>
  <c r="N13" i="15"/>
  <c r="V13" i="15"/>
  <c r="Q11" i="15" l="1"/>
  <c r="Q12" i="15" s="1"/>
  <c r="Q13" i="15" s="1"/>
  <c r="Y10" i="15"/>
  <c r="Y11" i="15" s="1"/>
  <c r="AA12" i="15"/>
  <c r="T96" i="1"/>
  <c r="P99" i="1"/>
  <c r="X97" i="1"/>
  <c r="M15" i="15"/>
  <c r="P15" i="15" s="1"/>
  <c r="Z13" i="15"/>
  <c r="AA13" i="15" s="1"/>
  <c r="U15" i="15"/>
  <c r="X15" i="15" s="1"/>
  <c r="R13" i="15"/>
  <c r="A26" i="11"/>
  <c r="N14" i="15"/>
  <c r="O15" i="15"/>
  <c r="V14" i="15"/>
  <c r="W14" i="15"/>
  <c r="S13" i="15" l="1"/>
  <c r="Y12" i="15"/>
  <c r="Y13" i="15" s="1"/>
  <c r="T99" i="1"/>
  <c r="P102" i="1"/>
  <c r="X98" i="1"/>
  <c r="R14" i="15"/>
  <c r="S14" i="15" s="1"/>
  <c r="Q14" i="15"/>
  <c r="Z14" i="15"/>
  <c r="M16" i="15"/>
  <c r="P16" i="15" s="1"/>
  <c r="A27" i="11"/>
  <c r="U16" i="15"/>
  <c r="X16" i="15" s="1"/>
  <c r="V15" i="15"/>
  <c r="O16" i="15"/>
  <c r="N15" i="15"/>
  <c r="W15" i="15"/>
  <c r="Y14" i="15" l="1"/>
  <c r="Y15" i="15" s="1"/>
  <c r="AA14" i="15"/>
  <c r="P105" i="1"/>
  <c r="T102" i="1"/>
  <c r="X99" i="1"/>
  <c r="M17" i="15"/>
  <c r="P17" i="15" s="1"/>
  <c r="Z15" i="15"/>
  <c r="AA15" i="15" s="1"/>
  <c r="U17" i="15"/>
  <c r="X17" i="15" s="1"/>
  <c r="A28" i="11"/>
  <c r="R15" i="15"/>
  <c r="S15" i="15" s="1"/>
  <c r="Q15" i="15"/>
  <c r="O17" i="15"/>
  <c r="N16" i="15"/>
  <c r="W16" i="15"/>
  <c r="V16" i="15"/>
  <c r="P108" i="1" l="1"/>
  <c r="T105" i="1"/>
  <c r="X100" i="1"/>
  <c r="A29" i="11"/>
  <c r="R16" i="15"/>
  <c r="S16" i="15" s="1"/>
  <c r="Q16" i="15"/>
  <c r="Z16" i="15"/>
  <c r="Y16" i="15"/>
  <c r="U18" i="15"/>
  <c r="X18" i="15" s="1"/>
  <c r="M18" i="15"/>
  <c r="P18" i="15" s="1"/>
  <c r="V17" i="15"/>
  <c r="W17" i="15"/>
  <c r="N17" i="15"/>
  <c r="O18" i="15"/>
  <c r="AA16" i="15" l="1"/>
  <c r="T108" i="1"/>
  <c r="P111" i="1"/>
  <c r="X101" i="1"/>
  <c r="U19" i="15"/>
  <c r="X19" i="15" s="1"/>
  <c r="Z17" i="15"/>
  <c r="AA17" i="15" s="1"/>
  <c r="Y17" i="15"/>
  <c r="M19" i="15"/>
  <c r="P19" i="15" s="1"/>
  <c r="R17" i="15"/>
  <c r="S17" i="15" s="1"/>
  <c r="Q17" i="15"/>
  <c r="A30" i="11"/>
  <c r="N18" i="15"/>
  <c r="V18" i="15"/>
  <c r="O19" i="15"/>
  <c r="W18" i="15"/>
  <c r="P114" i="1" l="1"/>
  <c r="T114" i="1" s="1"/>
  <c r="T111" i="1"/>
  <c r="X102" i="1"/>
  <c r="Z18" i="15"/>
  <c r="Y18" i="15"/>
  <c r="M20" i="15"/>
  <c r="P20" i="15" s="1"/>
  <c r="A31" i="11"/>
  <c r="R18" i="15"/>
  <c r="S18" i="15" s="1"/>
  <c r="Q18" i="15"/>
  <c r="U20" i="15"/>
  <c r="X20" i="15" s="1"/>
  <c r="V19" i="15"/>
  <c r="N19" i="15"/>
  <c r="W19" i="15"/>
  <c r="O20" i="15"/>
  <c r="AA18" i="15" l="1"/>
  <c r="X104" i="1"/>
  <c r="X103" i="1"/>
  <c r="U21" i="15"/>
  <c r="X21" i="15" s="1"/>
  <c r="R19" i="15"/>
  <c r="S19" i="15" s="1"/>
  <c r="Q19" i="15"/>
  <c r="M21" i="15"/>
  <c r="P21" i="15" s="1"/>
  <c r="A32" i="11"/>
  <c r="Z19" i="15"/>
  <c r="AA19" i="15" s="1"/>
  <c r="Y19" i="15"/>
  <c r="V20" i="15"/>
  <c r="O21" i="15"/>
  <c r="W20" i="15"/>
  <c r="N20" i="15"/>
  <c r="R20" i="15" l="1"/>
  <c r="S20" i="15" s="1"/>
  <c r="Q20" i="15"/>
  <c r="Z20" i="15"/>
  <c r="AA20" i="15" s="1"/>
  <c r="Y20" i="15"/>
  <c r="U22" i="15"/>
  <c r="X22" i="15" s="1"/>
  <c r="A33" i="11"/>
  <c r="M22" i="15"/>
  <c r="P22" i="15" s="1"/>
  <c r="O22" i="15"/>
  <c r="N21" i="15"/>
  <c r="W21" i="15"/>
  <c r="V21" i="15"/>
  <c r="U23" i="15" l="1"/>
  <c r="X23" i="15" s="1"/>
  <c r="M23" i="15"/>
  <c r="P23" i="15" s="1"/>
  <c r="A34" i="11"/>
  <c r="R21" i="15"/>
  <c r="S21" i="15" s="1"/>
  <c r="Q21" i="15"/>
  <c r="Z21" i="15"/>
  <c r="AA21" i="15" s="1"/>
  <c r="Y21" i="15"/>
  <c r="N22" i="15"/>
  <c r="V22" i="15"/>
  <c r="O23" i="15"/>
  <c r="W22" i="15"/>
  <c r="M24" i="15" l="1"/>
  <c r="P24" i="15" s="1"/>
  <c r="A35" i="11"/>
  <c r="R22" i="15"/>
  <c r="S22" i="15" s="1"/>
  <c r="Q22" i="15"/>
  <c r="U24" i="15"/>
  <c r="X24" i="15" s="1"/>
  <c r="Z22" i="15"/>
  <c r="AA22" i="15" s="1"/>
  <c r="Y22" i="15"/>
  <c r="V23" i="15"/>
  <c r="W23" i="15"/>
  <c r="O24" i="15"/>
  <c r="N23" i="15"/>
  <c r="A36" i="11" l="1"/>
  <c r="Z23" i="15"/>
  <c r="AA23" i="15" s="1"/>
  <c r="Y23" i="15"/>
  <c r="R23" i="15"/>
  <c r="S23" i="15" s="1"/>
  <c r="Q23" i="15"/>
  <c r="U25" i="15"/>
  <c r="X25" i="15" s="1"/>
  <c r="M25" i="15"/>
  <c r="P25" i="15" s="1"/>
  <c r="V24" i="15"/>
  <c r="N24" i="15"/>
  <c r="W24" i="15"/>
  <c r="O25" i="15"/>
  <c r="M26" i="15" l="1"/>
  <c r="P26" i="15" s="1"/>
  <c r="Z24" i="15"/>
  <c r="AA24" i="15" s="1"/>
  <c r="Y24" i="15"/>
  <c r="A37" i="11"/>
  <c r="U26" i="15"/>
  <c r="X26" i="15" s="1"/>
  <c r="R24" i="15"/>
  <c r="S24" i="15" s="1"/>
  <c r="Q24" i="15"/>
  <c r="O26" i="15"/>
  <c r="V25" i="15"/>
  <c r="N25" i="15"/>
  <c r="W25" i="15"/>
  <c r="Z25" i="15" l="1"/>
  <c r="AA25" i="15" s="1"/>
  <c r="Y25" i="15"/>
  <c r="U27" i="15"/>
  <c r="X27" i="15" s="1"/>
  <c r="R25" i="15"/>
  <c r="S25" i="15" s="1"/>
  <c r="Q25" i="15"/>
  <c r="A38" i="11"/>
  <c r="M27" i="15"/>
  <c r="P27" i="15" s="1"/>
  <c r="W26" i="15"/>
  <c r="O27" i="15"/>
  <c r="N26" i="15"/>
  <c r="V26" i="15"/>
  <c r="M28" i="15" l="1"/>
  <c r="P28" i="15" s="1"/>
  <c r="A39" i="11"/>
  <c r="U28" i="15"/>
  <c r="X28" i="15" s="1"/>
  <c r="R26" i="15"/>
  <c r="S26" i="15" s="1"/>
  <c r="Q26" i="15"/>
  <c r="Z26" i="15"/>
  <c r="AA26" i="15" s="1"/>
  <c r="Y26" i="15"/>
  <c r="V27" i="15"/>
  <c r="W27" i="15"/>
  <c r="N27" i="15"/>
  <c r="O28" i="15"/>
  <c r="Z27" i="15" l="1"/>
  <c r="AA27" i="15" s="1"/>
  <c r="Y27" i="15"/>
  <c r="A40" i="11"/>
  <c r="U29" i="15"/>
  <c r="X29" i="15" s="1"/>
  <c r="R27" i="15"/>
  <c r="S27" i="15" s="1"/>
  <c r="Q27" i="15"/>
  <c r="M29" i="15"/>
  <c r="P29" i="15" s="1"/>
  <c r="O29" i="15"/>
  <c r="W28" i="15"/>
  <c r="N28" i="15"/>
  <c r="V28" i="15"/>
  <c r="U30" i="15" l="1"/>
  <c r="X30" i="15" s="1"/>
  <c r="A41" i="11"/>
  <c r="R28" i="15"/>
  <c r="S28" i="15" s="1"/>
  <c r="Q28" i="15"/>
  <c r="M30" i="15"/>
  <c r="P30" i="15" s="1"/>
  <c r="Z28" i="15"/>
  <c r="AA28" i="15" s="1"/>
  <c r="Y28" i="15"/>
  <c r="O30" i="15"/>
  <c r="V29" i="15"/>
  <c r="N29" i="15"/>
  <c r="W29" i="15"/>
  <c r="R29" i="15" l="1"/>
  <c r="S29" i="15" s="1"/>
  <c r="Q29" i="15"/>
  <c r="A42" i="11"/>
  <c r="Z29" i="15"/>
  <c r="AA29" i="15" s="1"/>
  <c r="Y29" i="15"/>
  <c r="M31" i="15"/>
  <c r="P31" i="15" s="1"/>
  <c r="U31" i="15"/>
  <c r="X31" i="15" s="1"/>
  <c r="W30" i="15"/>
  <c r="N30" i="15"/>
  <c r="O31" i="15"/>
  <c r="V30" i="15"/>
  <c r="M32" i="15" l="1"/>
  <c r="P32" i="15" s="1"/>
  <c r="R30" i="15"/>
  <c r="S30" i="15" s="1"/>
  <c r="Q30" i="15"/>
  <c r="Z30" i="15"/>
  <c r="AA30" i="15" s="1"/>
  <c r="Y30" i="15"/>
  <c r="U32" i="15"/>
  <c r="X32" i="15" s="1"/>
  <c r="A43" i="11"/>
  <c r="O32" i="15"/>
  <c r="W31" i="15"/>
  <c r="V31" i="15"/>
  <c r="N31" i="15"/>
  <c r="Q31" i="15" l="1"/>
  <c r="Z31" i="15"/>
  <c r="AA31" i="15" s="1"/>
  <c r="Y31" i="15"/>
  <c r="A44" i="11"/>
  <c r="U33" i="15"/>
  <c r="M33" i="15"/>
  <c r="O33" i="15"/>
  <c r="W32" i="15"/>
  <c r="V32" i="15"/>
  <c r="N32" i="15"/>
  <c r="Q32" i="15" l="1"/>
  <c r="Y32" i="15"/>
  <c r="M34" i="15"/>
  <c r="A45" i="11"/>
  <c r="U34" i="15"/>
  <c r="V33" i="15"/>
  <c r="N33" i="15"/>
  <c r="W33" i="15"/>
  <c r="O34" i="15"/>
  <c r="P33" i="15" l="1"/>
  <c r="X33" i="15"/>
  <c r="Y33" i="15" s="1"/>
  <c r="A46" i="11"/>
  <c r="U35" i="15"/>
  <c r="M35" i="15"/>
  <c r="O35" i="15"/>
  <c r="V34" i="15"/>
  <c r="N34" i="15"/>
  <c r="W34" i="15"/>
  <c r="X34" i="15" l="1"/>
  <c r="Y34" i="15" s="1"/>
  <c r="P34" i="15"/>
  <c r="Q33" i="15"/>
  <c r="M36" i="15"/>
  <c r="A47" i="11"/>
  <c r="U36" i="15"/>
  <c r="W35" i="15"/>
  <c r="V35" i="15"/>
  <c r="N35" i="15"/>
  <c r="O36" i="15"/>
  <c r="Q34" i="15" l="1"/>
  <c r="P35" i="15"/>
  <c r="X35" i="15"/>
  <c r="Y35" i="15" s="1"/>
  <c r="A48" i="11"/>
  <c r="U37" i="15"/>
  <c r="M37" i="15"/>
  <c r="V36" i="15"/>
  <c r="W36" i="15"/>
  <c r="N36" i="15"/>
  <c r="O37" i="15"/>
  <c r="Q35" i="15" l="1"/>
  <c r="P36" i="15"/>
  <c r="X36" i="15"/>
  <c r="Y36" i="15" s="1"/>
  <c r="M38" i="15"/>
  <c r="U38" i="15"/>
  <c r="A49" i="11"/>
  <c r="N37" i="15"/>
  <c r="W37" i="15"/>
  <c r="O38" i="15"/>
  <c r="V37" i="15"/>
  <c r="P37" i="15" l="1"/>
  <c r="X37" i="15"/>
  <c r="Y37" i="15" s="1"/>
  <c r="Q36" i="15"/>
  <c r="A50" i="11"/>
  <c r="U39" i="15"/>
  <c r="M39" i="15"/>
  <c r="V38" i="15"/>
  <c r="O39" i="15"/>
  <c r="N38" i="15"/>
  <c r="W38" i="15"/>
  <c r="P38" i="15" l="1"/>
  <c r="P39" i="15"/>
  <c r="X38" i="15"/>
  <c r="Y38" i="15" s="1"/>
  <c r="Q37" i="15"/>
  <c r="U40" i="15"/>
  <c r="M40" i="15"/>
  <c r="A51" i="11"/>
  <c r="N39" i="15"/>
  <c r="V39" i="15"/>
  <c r="O40" i="15"/>
  <c r="W39" i="15"/>
  <c r="Q38" i="15" l="1"/>
  <c r="P40" i="15"/>
  <c r="X39" i="15"/>
  <c r="Y39" i="15" s="1"/>
  <c r="U41" i="15"/>
  <c r="A52" i="11"/>
  <c r="M41" i="15"/>
  <c r="N40" i="15"/>
  <c r="O41" i="15"/>
  <c r="V40" i="15"/>
  <c r="W40" i="15"/>
  <c r="X40" i="15" l="1"/>
  <c r="Y40" i="15" s="1"/>
  <c r="Q39" i="15"/>
  <c r="M42" i="15"/>
  <c r="A53" i="11"/>
  <c r="U42" i="15"/>
  <c r="V41" i="15"/>
  <c r="O42" i="15"/>
  <c r="W41" i="15"/>
  <c r="N41" i="15"/>
  <c r="P41" i="15" l="1"/>
  <c r="X41" i="15"/>
  <c r="Y41" i="15" s="1"/>
  <c r="Q40" i="15"/>
  <c r="A54" i="11"/>
  <c r="U43" i="15"/>
  <c r="M43" i="15"/>
  <c r="V42" i="15"/>
  <c r="N42" i="15"/>
  <c r="O43" i="15"/>
  <c r="W42" i="15"/>
  <c r="X42" i="15" l="1"/>
  <c r="P42" i="15"/>
  <c r="Q41" i="15"/>
  <c r="M44" i="15"/>
  <c r="U44" i="15"/>
  <c r="A55" i="11"/>
  <c r="O44" i="15"/>
  <c r="V43" i="15"/>
  <c r="W43" i="15"/>
  <c r="N43" i="15"/>
  <c r="X43" i="15" l="1"/>
  <c r="P43" i="15"/>
  <c r="Q42" i="15"/>
  <c r="Y42" i="15"/>
  <c r="U45" i="15"/>
  <c r="X45" i="15" s="1"/>
  <c r="M45" i="15"/>
  <c r="A56" i="11"/>
  <c r="V44" i="15"/>
  <c r="W44" i="15"/>
  <c r="N44" i="15"/>
  <c r="O45" i="15"/>
  <c r="Y43" i="15" l="1"/>
  <c r="P44" i="15"/>
  <c r="X44" i="15"/>
  <c r="Q43" i="15"/>
  <c r="M46" i="15"/>
  <c r="A57" i="11"/>
  <c r="U46" i="15"/>
  <c r="W45" i="15"/>
  <c r="O46" i="15"/>
  <c r="V45" i="15"/>
  <c r="N45" i="15"/>
  <c r="Y44" i="15" l="1"/>
  <c r="Y45" i="15" s="1"/>
  <c r="P45" i="15"/>
  <c r="A58" i="11"/>
  <c r="U47" i="15"/>
  <c r="Z45" i="15"/>
  <c r="AA45" i="15" s="1"/>
  <c r="M47" i="15"/>
  <c r="N46" i="15"/>
  <c r="V46" i="15"/>
  <c r="W46" i="15"/>
  <c r="O47" i="15"/>
  <c r="X46" i="15" l="1"/>
  <c r="Y46" i="15" s="1"/>
  <c r="P46" i="15"/>
  <c r="A59" i="11"/>
  <c r="M48" i="15"/>
  <c r="U48" i="15"/>
  <c r="N47" i="15"/>
  <c r="O48" i="15"/>
  <c r="W47" i="15"/>
  <c r="V47" i="15"/>
  <c r="P47" i="15" l="1"/>
  <c r="X47" i="15"/>
  <c r="Y47" i="15" s="1"/>
  <c r="M49" i="15"/>
  <c r="U49" i="15"/>
  <c r="A60" i="11"/>
  <c r="V48" i="15"/>
  <c r="W48" i="15"/>
  <c r="O49" i="15"/>
  <c r="N48" i="15"/>
  <c r="X48" i="15" l="1"/>
  <c r="Y48" i="15" s="1"/>
  <c r="P48" i="15"/>
  <c r="M50" i="15"/>
  <c r="A61" i="11"/>
  <c r="U50" i="15"/>
  <c r="O50" i="15"/>
  <c r="N49" i="15"/>
  <c r="W49" i="15"/>
  <c r="V49" i="15"/>
  <c r="X49" i="15" l="1"/>
  <c r="Y49" i="15" s="1"/>
  <c r="P49" i="15"/>
  <c r="U51" i="15"/>
  <c r="A62" i="11"/>
  <c r="M51" i="15"/>
  <c r="W50" i="15"/>
  <c r="N50" i="15"/>
  <c r="V50" i="15"/>
  <c r="O51" i="15"/>
  <c r="P50" i="15" l="1"/>
  <c r="X50" i="15"/>
  <c r="Y50" i="15" s="1"/>
  <c r="M52" i="15"/>
  <c r="U52" i="15"/>
  <c r="A63" i="11"/>
  <c r="O52" i="15"/>
  <c r="V51" i="15"/>
  <c r="N51" i="15"/>
  <c r="W51" i="15"/>
  <c r="P51" i="15" l="1"/>
  <c r="X51" i="15"/>
  <c r="Y51" i="15" s="1"/>
  <c r="A64" i="11"/>
  <c r="U53" i="15"/>
  <c r="M53" i="15"/>
  <c r="O53" i="15"/>
  <c r="W52" i="15"/>
  <c r="V52" i="15"/>
  <c r="N52" i="15"/>
  <c r="X52" i="15" l="1"/>
  <c r="Y52" i="15" s="1"/>
  <c r="P52" i="15"/>
  <c r="M54" i="15"/>
  <c r="A65" i="11"/>
  <c r="U54" i="15"/>
  <c r="O54" i="15"/>
  <c r="N53" i="15"/>
  <c r="W53" i="15"/>
  <c r="V53" i="15"/>
  <c r="X53" i="15" l="1"/>
  <c r="Y53" i="15" s="1"/>
  <c r="P53" i="15"/>
  <c r="A66" i="11"/>
  <c r="U55" i="15"/>
  <c r="M55" i="15"/>
  <c r="W54" i="15"/>
  <c r="V54" i="15"/>
  <c r="O55" i="15"/>
  <c r="N54" i="15"/>
  <c r="X54" i="15" l="1"/>
  <c r="Y54" i="15" s="1"/>
  <c r="P54" i="15"/>
  <c r="A67" i="11"/>
  <c r="M56" i="15"/>
  <c r="U56" i="15"/>
  <c r="N55" i="15"/>
  <c r="O56" i="15"/>
  <c r="W55" i="15"/>
  <c r="V55" i="15"/>
  <c r="X55" i="15" l="1"/>
  <c r="Y55" i="15" s="1"/>
  <c r="P55" i="15"/>
  <c r="A68" i="11"/>
  <c r="M57" i="15"/>
  <c r="U57" i="15"/>
  <c r="V56" i="15"/>
  <c r="W56" i="15"/>
  <c r="O57" i="15"/>
  <c r="N56" i="15"/>
  <c r="X56" i="15" l="1"/>
  <c r="Y56" i="15" s="1"/>
  <c r="P56" i="15"/>
  <c r="M58" i="15"/>
  <c r="U58" i="15"/>
  <c r="A69" i="11"/>
  <c r="O58" i="15"/>
  <c r="N57" i="15"/>
  <c r="W57" i="15"/>
  <c r="V57" i="15"/>
  <c r="P57" i="15" l="1"/>
  <c r="X57" i="15"/>
  <c r="M59" i="15"/>
  <c r="U59" i="15"/>
  <c r="A70" i="11"/>
  <c r="W58" i="15"/>
  <c r="V58" i="15"/>
  <c r="N58" i="15"/>
  <c r="O59" i="15"/>
  <c r="P58" i="15" l="1"/>
  <c r="X58" i="15"/>
  <c r="Y57" i="15"/>
  <c r="U60" i="15"/>
  <c r="M60" i="15"/>
  <c r="N59" i="15"/>
  <c r="W59" i="15"/>
  <c r="O60" i="15"/>
  <c r="V59" i="15"/>
  <c r="P59" i="15" l="1"/>
  <c r="X59" i="15"/>
  <c r="Y58" i="15"/>
  <c r="M61" i="15"/>
  <c r="U61" i="15"/>
  <c r="W60" i="15"/>
  <c r="O61" i="15"/>
  <c r="N60" i="15"/>
  <c r="V60" i="15"/>
  <c r="P60" i="15" l="1"/>
  <c r="X60" i="15"/>
  <c r="P61" i="15"/>
  <c r="Y59" i="15"/>
  <c r="U62" i="15"/>
  <c r="M62" i="15"/>
  <c r="W61" i="15"/>
  <c r="O62" i="15"/>
  <c r="V61" i="15"/>
  <c r="N61" i="15"/>
  <c r="P62" i="15" l="1"/>
  <c r="X61" i="15"/>
  <c r="Y60" i="15"/>
  <c r="M63" i="15"/>
  <c r="U63" i="15"/>
  <c r="W62" i="15"/>
  <c r="O63" i="15"/>
  <c r="V62" i="15"/>
  <c r="N62" i="15"/>
  <c r="X62" i="15" l="1"/>
  <c r="P63" i="15"/>
  <c r="Y61" i="15"/>
  <c r="M64" i="15"/>
  <c r="U64" i="15"/>
  <c r="W63" i="15"/>
  <c r="N63" i="15"/>
  <c r="O64" i="15"/>
  <c r="V63" i="15"/>
  <c r="Y62" i="15" l="1"/>
  <c r="X63" i="15"/>
  <c r="P64" i="15"/>
  <c r="M65" i="15"/>
  <c r="U65" i="15"/>
  <c r="V64" i="15"/>
  <c r="O65" i="15"/>
  <c r="W64" i="15"/>
  <c r="N64" i="15"/>
  <c r="Y63" i="15" l="1"/>
  <c r="X64" i="15"/>
  <c r="P65" i="15"/>
  <c r="U66" i="15"/>
  <c r="X66" i="15" s="1"/>
  <c r="M66" i="15"/>
  <c r="P66" i="15" s="1"/>
  <c r="N65" i="15"/>
  <c r="O66" i="15"/>
  <c r="V65" i="15"/>
  <c r="W65" i="15"/>
  <c r="Y64" i="15" l="1"/>
  <c r="X65" i="15"/>
  <c r="U67" i="15"/>
  <c r="X67" i="15" s="1"/>
  <c r="M67" i="15"/>
  <c r="P67" i="15" s="1"/>
  <c r="N66" i="15"/>
  <c r="O67" i="15"/>
  <c r="V66" i="15"/>
  <c r="W66" i="15"/>
  <c r="Y65" i="15" l="1"/>
  <c r="Y66" i="15" s="1"/>
  <c r="U68" i="15"/>
  <c r="X68" i="15" s="1"/>
  <c r="M68" i="15"/>
  <c r="P68" i="15" s="1"/>
  <c r="V67" i="15"/>
  <c r="N67" i="15"/>
  <c r="O68" i="15"/>
  <c r="W67" i="15"/>
  <c r="Z67" i="15" l="1"/>
  <c r="AA67" i="15" s="1"/>
  <c r="Y67" i="15"/>
  <c r="U69" i="15"/>
  <c r="X69" i="15" s="1"/>
  <c r="R67" i="15"/>
  <c r="S67" i="15" s="1"/>
  <c r="M69" i="15"/>
  <c r="P69" i="15" s="1"/>
  <c r="N68" i="15"/>
  <c r="O69" i="15"/>
  <c r="V68" i="15"/>
  <c r="W68" i="15"/>
  <c r="R68" i="15" l="1"/>
  <c r="S68" i="15" s="1"/>
  <c r="U70" i="15"/>
  <c r="X70" i="15" s="1"/>
  <c r="M70" i="15"/>
  <c r="P70" i="15" s="1"/>
  <c r="Z68" i="15"/>
  <c r="AA68" i="15" s="1"/>
  <c r="Y68" i="15"/>
  <c r="W69" i="15"/>
  <c r="O70" i="15"/>
  <c r="N69" i="15"/>
  <c r="V69" i="15"/>
  <c r="Z69" i="15" l="1"/>
  <c r="AA69" i="15" s="1"/>
  <c r="Y69" i="15"/>
  <c r="U71" i="15"/>
  <c r="X71" i="15" s="1"/>
  <c r="R69" i="15"/>
  <c r="S69" i="15" s="1"/>
  <c r="M71" i="15"/>
  <c r="P71" i="15" s="1"/>
  <c r="O71" i="15"/>
  <c r="V70" i="15"/>
  <c r="W70" i="15"/>
  <c r="N70" i="15"/>
  <c r="Z70" i="15" l="1"/>
  <c r="AA70" i="15" s="1"/>
  <c r="Y70" i="15"/>
  <c r="U72" i="15"/>
  <c r="X72" i="15" s="1"/>
  <c r="M72" i="15"/>
  <c r="P72" i="15" s="1"/>
  <c r="R70" i="15"/>
  <c r="S70" i="15" s="1"/>
  <c r="V71" i="15"/>
  <c r="N71" i="15"/>
  <c r="O72" i="15"/>
  <c r="W71" i="15"/>
  <c r="U73" i="15" l="1"/>
  <c r="X73" i="15" s="1"/>
  <c r="R71" i="15"/>
  <c r="S71" i="15" s="1"/>
  <c r="M73" i="15"/>
  <c r="P73" i="15" s="1"/>
  <c r="Z71" i="15"/>
  <c r="AA71" i="15" s="1"/>
  <c r="Y71" i="15"/>
  <c r="V72" i="15"/>
  <c r="W72" i="15"/>
  <c r="O73" i="15"/>
  <c r="N72" i="15"/>
  <c r="Z72" i="15" l="1"/>
  <c r="AA72" i="15" s="1"/>
  <c r="Y72" i="15"/>
  <c r="R72" i="15"/>
  <c r="S72" i="15" s="1"/>
  <c r="U74" i="15"/>
  <c r="X74" i="15" s="1"/>
  <c r="M74" i="15"/>
  <c r="P74" i="15" s="1"/>
  <c r="W73" i="15"/>
  <c r="O74" i="15"/>
  <c r="N73" i="15"/>
  <c r="V73" i="15"/>
  <c r="M75" i="15" l="1"/>
  <c r="P75" i="15" s="1"/>
  <c r="R73" i="15"/>
  <c r="S73" i="15" s="1"/>
  <c r="Z73" i="15"/>
  <c r="AA73" i="15" s="1"/>
  <c r="Y73" i="15"/>
  <c r="U75" i="15"/>
  <c r="X75" i="15" s="1"/>
  <c r="V74" i="15"/>
  <c r="O75" i="15"/>
  <c r="N74" i="15"/>
  <c r="W74" i="15"/>
  <c r="Z74" i="15" l="1"/>
  <c r="AA74" i="15" s="1"/>
  <c r="Y74" i="15"/>
  <c r="R74" i="15"/>
  <c r="S74" i="15" s="1"/>
  <c r="U76" i="15"/>
  <c r="X76" i="15" s="1"/>
  <c r="M76" i="15"/>
  <c r="P76" i="15" s="1"/>
  <c r="O76" i="15"/>
  <c r="N75" i="15"/>
  <c r="W75" i="15"/>
  <c r="V75" i="15"/>
  <c r="R75" i="15" l="1"/>
  <c r="S75" i="15" s="1"/>
  <c r="U77" i="15"/>
  <c r="X77" i="15" s="1"/>
  <c r="M77" i="15"/>
  <c r="P77" i="15" s="1"/>
  <c r="Z75" i="15"/>
  <c r="AA75" i="15" s="1"/>
  <c r="Y75" i="15"/>
  <c r="V76" i="15"/>
  <c r="N76" i="15"/>
  <c r="W76" i="15"/>
  <c r="O77" i="15"/>
  <c r="R76" i="15" l="1"/>
  <c r="S76" i="15" s="1"/>
  <c r="Z76" i="15"/>
  <c r="AA76" i="15" s="1"/>
  <c r="Y76" i="15"/>
  <c r="U78" i="15"/>
  <c r="X78" i="15" s="1"/>
  <c r="M78" i="15"/>
  <c r="P78" i="15" s="1"/>
  <c r="N77" i="15"/>
  <c r="O78" i="15"/>
  <c r="W77" i="15"/>
  <c r="V77" i="15"/>
  <c r="R77" i="15" l="1"/>
  <c r="S77" i="15" s="1"/>
  <c r="M79" i="15"/>
  <c r="P79" i="15" s="1"/>
  <c r="U79" i="15"/>
  <c r="X79" i="15" s="1"/>
  <c r="Z77" i="15"/>
  <c r="AA77" i="15" s="1"/>
  <c r="Y77" i="15"/>
  <c r="W78" i="15"/>
  <c r="V78" i="15"/>
  <c r="N78" i="15"/>
  <c r="O79" i="15"/>
  <c r="M80" i="15" l="1"/>
  <c r="P80" i="15" s="1"/>
  <c r="Z78" i="15"/>
  <c r="AA78" i="15" s="1"/>
  <c r="Y78" i="15"/>
  <c r="U80" i="15"/>
  <c r="X80" i="15" s="1"/>
  <c r="R78" i="15"/>
  <c r="S78" i="15" s="1"/>
  <c r="O80" i="15"/>
  <c r="N79" i="15"/>
  <c r="W79" i="15"/>
  <c r="V79" i="15"/>
  <c r="U81" i="15" l="1"/>
  <c r="X81" i="15" s="1"/>
  <c r="R79" i="15"/>
  <c r="S79" i="15" s="1"/>
  <c r="Z79" i="15"/>
  <c r="AA79" i="15" s="1"/>
  <c r="Y79" i="15"/>
  <c r="M81" i="15"/>
  <c r="P81" i="15" s="1"/>
  <c r="O81" i="15"/>
  <c r="V80" i="15"/>
  <c r="W80" i="15"/>
  <c r="N80" i="15"/>
  <c r="R80" i="15" l="1"/>
  <c r="S80" i="15" s="1"/>
  <c r="Z80" i="15"/>
  <c r="AA80" i="15" s="1"/>
  <c r="Y80" i="15"/>
  <c r="M82" i="15"/>
  <c r="P82" i="15" s="1"/>
  <c r="U82" i="15"/>
  <c r="X82" i="15" s="1"/>
  <c r="W81" i="15"/>
  <c r="V81" i="15"/>
  <c r="O82" i="15"/>
  <c r="N81" i="15"/>
  <c r="Z81" i="15" l="1"/>
  <c r="AA81" i="15" s="1"/>
  <c r="Y81" i="15"/>
  <c r="U83" i="15"/>
  <c r="X83" i="15" s="1"/>
  <c r="M83" i="15"/>
  <c r="P83" i="15" s="1"/>
  <c r="R81" i="15"/>
  <c r="S81" i="15" s="1"/>
  <c r="N82" i="15"/>
  <c r="O83" i="15"/>
  <c r="V82" i="15"/>
  <c r="W82" i="15"/>
  <c r="M84" i="15" l="1"/>
  <c r="P84" i="15" s="1"/>
  <c r="Z82" i="15"/>
  <c r="AA82" i="15" s="1"/>
  <c r="Y82" i="15"/>
  <c r="R82" i="15"/>
  <c r="S82" i="15" s="1"/>
  <c r="U84" i="15"/>
  <c r="X84" i="15" s="1"/>
  <c r="W83" i="15"/>
  <c r="O84" i="15"/>
  <c r="N83" i="15"/>
  <c r="V83" i="15"/>
  <c r="R83" i="15" l="1"/>
  <c r="S83" i="15" s="1"/>
  <c r="M85" i="15"/>
  <c r="P85" i="15" s="1"/>
  <c r="Z83" i="15"/>
  <c r="AA83" i="15" s="1"/>
  <c r="Y83" i="15"/>
  <c r="U85" i="15"/>
  <c r="X85" i="15" s="1"/>
  <c r="V84" i="15"/>
  <c r="N84" i="15"/>
  <c r="O85" i="15"/>
  <c r="W84" i="15"/>
  <c r="Z84" i="15" l="1"/>
  <c r="AA84" i="15" s="1"/>
  <c r="Y84" i="15"/>
  <c r="U86" i="15"/>
  <c r="X86" i="15" s="1"/>
  <c r="R84" i="15"/>
  <c r="S84" i="15" s="1"/>
  <c r="M86" i="15"/>
  <c r="P86" i="15" s="1"/>
  <c r="V85" i="15"/>
  <c r="W85" i="15"/>
  <c r="O86" i="15"/>
  <c r="N85" i="15"/>
  <c r="U87" i="15" l="1"/>
  <c r="X87" i="15" s="1"/>
  <c r="AA86" i="15"/>
  <c r="R85" i="15"/>
  <c r="S85" i="15" s="1"/>
  <c r="M87" i="15"/>
  <c r="P87" i="15" s="1"/>
  <c r="S86" i="15"/>
  <c r="Z85" i="15"/>
  <c r="AA85" i="15" s="1"/>
  <c r="Y85" i="15"/>
  <c r="N86" i="15"/>
  <c r="V86" i="15"/>
  <c r="O87" i="15"/>
  <c r="W86" i="15"/>
  <c r="Z86" i="15" l="1"/>
  <c r="Y86" i="15"/>
  <c r="R86" i="15"/>
  <c r="S87" i="15"/>
  <c r="M88" i="15"/>
  <c r="P88" i="15" s="1"/>
  <c r="U88" i="15"/>
  <c r="X88" i="15" s="1"/>
  <c r="AA87" i="15"/>
  <c r="O88" i="15"/>
  <c r="W87" i="15"/>
  <c r="V87" i="15"/>
  <c r="N87" i="15"/>
  <c r="Z87" i="15" l="1"/>
  <c r="Y87" i="15"/>
  <c r="S88" i="15"/>
  <c r="M89" i="15"/>
  <c r="P89" i="15" s="1"/>
  <c r="AA88" i="15"/>
  <c r="U89" i="15"/>
  <c r="X89" i="15" s="1"/>
  <c r="R87" i="15"/>
  <c r="V88" i="15"/>
  <c r="W88" i="15"/>
  <c r="O89" i="15"/>
  <c r="N88" i="15"/>
  <c r="Z88" i="15" l="1"/>
  <c r="Y88" i="15"/>
  <c r="R88" i="15"/>
  <c r="S89" i="15"/>
  <c r="M90" i="15"/>
  <c r="P90" i="15" s="1"/>
  <c r="AA89" i="15"/>
  <c r="U90" i="15"/>
  <c r="X90" i="15" s="1"/>
  <c r="V89" i="15"/>
  <c r="N89" i="15"/>
  <c r="O90" i="15"/>
  <c r="W89" i="15"/>
  <c r="S90" i="15" l="1"/>
  <c r="M91" i="15"/>
  <c r="P91" i="15" s="1"/>
  <c r="R89" i="15"/>
  <c r="Z89" i="15"/>
  <c r="Y89" i="15"/>
  <c r="U91" i="15"/>
  <c r="X91" i="15" s="1"/>
  <c r="AA90" i="15"/>
  <c r="O91" i="15"/>
  <c r="N90" i="15"/>
  <c r="W90" i="15"/>
  <c r="V90" i="15"/>
  <c r="Z90" i="15" l="1"/>
  <c r="Y90" i="15"/>
  <c r="S91" i="15"/>
  <c r="M92" i="15"/>
  <c r="P92" i="15" s="1"/>
  <c r="R90" i="15"/>
  <c r="U92" i="15"/>
  <c r="X92" i="15" s="1"/>
  <c r="AA91" i="15"/>
  <c r="W91" i="15"/>
  <c r="V91" i="15"/>
  <c r="O92" i="15"/>
  <c r="N91" i="15"/>
  <c r="Z91" i="15" l="1"/>
  <c r="Y91" i="15"/>
  <c r="S92" i="15"/>
  <c r="M93" i="15"/>
  <c r="P93" i="15" s="1"/>
  <c r="U93" i="15"/>
  <c r="X93" i="15" s="1"/>
  <c r="AA92" i="15"/>
  <c r="R91" i="15"/>
  <c r="O93" i="15"/>
  <c r="N92" i="15"/>
  <c r="V92" i="15"/>
  <c r="W92" i="15"/>
  <c r="Z92" i="15" l="1"/>
  <c r="Y92" i="15"/>
  <c r="S93" i="15"/>
  <c r="M94" i="15"/>
  <c r="P94" i="15" s="1"/>
  <c r="AA93" i="15"/>
  <c r="U94" i="15"/>
  <c r="X94" i="15" s="1"/>
  <c r="R92" i="15"/>
  <c r="O94" i="15"/>
  <c r="W93" i="15"/>
  <c r="V93" i="15"/>
  <c r="N93" i="15"/>
  <c r="M95" i="15" l="1"/>
  <c r="P95" i="15" s="1"/>
  <c r="S94" i="15"/>
  <c r="R93" i="15"/>
  <c r="Z93" i="15"/>
  <c r="Y93" i="15"/>
  <c r="AA94" i="15"/>
  <c r="U95" i="15"/>
  <c r="X95" i="15" s="1"/>
  <c r="N94" i="15"/>
  <c r="W94" i="15"/>
  <c r="V94" i="15"/>
  <c r="O95" i="15"/>
  <c r="Z94" i="15" l="1"/>
  <c r="Y94" i="15"/>
  <c r="U96" i="15"/>
  <c r="X96" i="15" s="1"/>
  <c r="AA95" i="15"/>
  <c r="S95" i="15"/>
  <c r="M96" i="15"/>
  <c r="P96" i="15" s="1"/>
  <c r="R94" i="15"/>
  <c r="W95" i="15"/>
  <c r="V95" i="15"/>
  <c r="N95" i="15"/>
  <c r="O96" i="15"/>
  <c r="Z95" i="15" l="1"/>
  <c r="Y95" i="15"/>
  <c r="R95" i="15"/>
  <c r="AA96" i="15"/>
  <c r="U97" i="15"/>
  <c r="X97" i="15" s="1"/>
  <c r="M97" i="15"/>
  <c r="P97" i="15" s="1"/>
  <c r="S96" i="15"/>
  <c r="W96" i="15"/>
  <c r="O97" i="15"/>
  <c r="V96" i="15"/>
  <c r="N96" i="15"/>
  <c r="R96" i="15" l="1"/>
  <c r="AA97" i="15"/>
  <c r="U98" i="15"/>
  <c r="X98" i="15" s="1"/>
  <c r="Z96" i="15"/>
  <c r="Y96" i="15"/>
  <c r="S97" i="15"/>
  <c r="M98" i="15"/>
  <c r="P98" i="15" s="1"/>
  <c r="V97" i="15"/>
  <c r="O98" i="15"/>
  <c r="N97" i="15"/>
  <c r="W97" i="15"/>
  <c r="S98" i="15" l="1"/>
  <c r="M99" i="15"/>
  <c r="P99" i="15" s="1"/>
  <c r="Z97" i="15"/>
  <c r="Y97" i="15"/>
  <c r="R97" i="15"/>
  <c r="U99" i="15"/>
  <c r="X99" i="15" s="1"/>
  <c r="AA98" i="15"/>
  <c r="W98" i="15"/>
  <c r="O99" i="15"/>
  <c r="V98" i="15"/>
  <c r="N98" i="15"/>
  <c r="Z98" i="15" l="1"/>
  <c r="Y98" i="15"/>
  <c r="R98" i="15"/>
  <c r="M100" i="15"/>
  <c r="P100" i="15" s="1"/>
  <c r="S99" i="15"/>
  <c r="AA99" i="15"/>
  <c r="U100" i="15"/>
  <c r="X100" i="15" s="1"/>
  <c r="W99" i="15"/>
  <c r="N99" i="15"/>
  <c r="V99" i="15"/>
  <c r="O100" i="15"/>
  <c r="Z99" i="15" l="1"/>
  <c r="Y99" i="15"/>
  <c r="U101" i="15"/>
  <c r="X101" i="15" s="1"/>
  <c r="AA100" i="15"/>
  <c r="S100" i="15"/>
  <c r="M101" i="15"/>
  <c r="P101" i="15" s="1"/>
  <c r="R99" i="15"/>
  <c r="W100" i="15"/>
  <c r="N100" i="15"/>
  <c r="V100" i="15"/>
  <c r="O101" i="15"/>
  <c r="AA101" i="15" l="1"/>
  <c r="U102" i="15"/>
  <c r="X102" i="15" s="1"/>
  <c r="M102" i="15"/>
  <c r="P102" i="15" s="1"/>
  <c r="S101" i="15"/>
  <c r="R100" i="15"/>
  <c r="Z100" i="15"/>
  <c r="Y100" i="15"/>
  <c r="V101" i="15"/>
  <c r="O102" i="15"/>
  <c r="W101" i="15"/>
  <c r="N101" i="15"/>
  <c r="Z101" i="15" l="1"/>
  <c r="Y101" i="15"/>
  <c r="AA102" i="15"/>
  <c r="U103" i="15"/>
  <c r="X103" i="15" s="1"/>
  <c r="M103" i="15"/>
  <c r="P103" i="15" s="1"/>
  <c r="S102" i="15"/>
  <c r="R101" i="15"/>
  <c r="N102" i="15"/>
  <c r="V102" i="15"/>
  <c r="W102" i="15"/>
  <c r="O103" i="15"/>
  <c r="R102" i="15" l="1"/>
  <c r="S103" i="15"/>
  <c r="M104" i="15"/>
  <c r="P104" i="15" s="1"/>
  <c r="AA103" i="15"/>
  <c r="U104" i="15"/>
  <c r="X104" i="15" s="1"/>
  <c r="Z102" i="15"/>
  <c r="Y102" i="15"/>
  <c r="N103" i="15"/>
  <c r="W103" i="15"/>
  <c r="O104" i="15"/>
  <c r="V103" i="15"/>
  <c r="M105" i="15" l="1"/>
  <c r="P105" i="15" s="1"/>
  <c r="S104" i="15"/>
  <c r="R103" i="15"/>
  <c r="Z103" i="15"/>
  <c r="Y103" i="15"/>
  <c r="AA104" i="15"/>
  <c r="U105" i="15"/>
  <c r="X105" i="15" s="1"/>
  <c r="W104" i="15"/>
  <c r="N104" i="15"/>
  <c r="V104" i="15"/>
  <c r="O105" i="15"/>
  <c r="R104" i="15" l="1"/>
  <c r="U106" i="15"/>
  <c r="X106" i="15" s="1"/>
  <c r="AA105" i="15"/>
  <c r="S105" i="15"/>
  <c r="M106" i="15"/>
  <c r="P106" i="15" s="1"/>
  <c r="Z104" i="15"/>
  <c r="Y104" i="15"/>
  <c r="V105" i="15"/>
  <c r="N105" i="15"/>
  <c r="O106" i="15"/>
  <c r="W105" i="15"/>
  <c r="Z105" i="15" l="1"/>
  <c r="Y105" i="15"/>
  <c r="M107" i="15"/>
  <c r="P107" i="15" s="1"/>
  <c r="S106" i="15"/>
  <c r="R105" i="15"/>
  <c r="AA106" i="15"/>
  <c r="U107" i="15"/>
  <c r="X107" i="15" s="1"/>
  <c r="V106" i="15"/>
  <c r="O107" i="15"/>
  <c r="W106" i="15"/>
  <c r="N106" i="15"/>
  <c r="Z106" i="15" l="1"/>
  <c r="Y106" i="15"/>
  <c r="AA107" i="15"/>
  <c r="U108" i="15"/>
  <c r="X108" i="15" s="1"/>
  <c r="R106" i="15"/>
  <c r="S107" i="15"/>
  <c r="M108" i="15"/>
  <c r="P108" i="15" s="1"/>
  <c r="N107" i="15"/>
  <c r="V107" i="15"/>
  <c r="O108" i="15"/>
  <c r="W107" i="15"/>
  <c r="R107" i="15" l="1"/>
  <c r="U109" i="15"/>
  <c r="X109" i="15" s="1"/>
  <c r="AA108" i="15"/>
  <c r="M109" i="15"/>
  <c r="P109" i="15" s="1"/>
  <c r="S108" i="15"/>
  <c r="Z107" i="15"/>
  <c r="Y107" i="15"/>
  <c r="W108" i="15"/>
  <c r="V108" i="15"/>
  <c r="N108" i="15"/>
  <c r="O109" i="15"/>
  <c r="S109" i="15" l="1"/>
  <c r="M110" i="15"/>
  <c r="P110" i="15" s="1"/>
  <c r="Z108" i="15"/>
  <c r="Y108" i="15"/>
  <c r="AA109" i="15"/>
  <c r="U110" i="15"/>
  <c r="X110" i="15" s="1"/>
  <c r="R108" i="15"/>
  <c r="W109" i="15"/>
  <c r="V109" i="15"/>
  <c r="N109" i="15"/>
  <c r="O110" i="15"/>
  <c r="R109" i="15" l="1"/>
  <c r="Z109" i="15"/>
  <c r="Y109" i="15"/>
  <c r="M111" i="15"/>
  <c r="P111" i="15" s="1"/>
  <c r="S110" i="15"/>
  <c r="AA110" i="15"/>
  <c r="U111" i="15"/>
  <c r="X111" i="15" s="1"/>
  <c r="V110" i="15"/>
  <c r="O111" i="15"/>
  <c r="N110" i="15"/>
  <c r="W110" i="15"/>
  <c r="Z110" i="15" l="1"/>
  <c r="Y110" i="15"/>
  <c r="S111" i="15"/>
  <c r="M112" i="15"/>
  <c r="P112" i="15" s="1"/>
  <c r="AA111" i="15"/>
  <c r="U112" i="15"/>
  <c r="X112" i="15" s="1"/>
  <c r="R110" i="15"/>
  <c r="N111" i="15"/>
  <c r="O112" i="15"/>
  <c r="V111" i="15"/>
  <c r="W111" i="15"/>
  <c r="S112" i="15" l="1"/>
  <c r="M113" i="15"/>
  <c r="P113" i="15" s="1"/>
  <c r="R111" i="15"/>
  <c r="Z111" i="15"/>
  <c r="Y111" i="15"/>
  <c r="U113" i="15"/>
  <c r="X113" i="15" s="1"/>
  <c r="AA112" i="15"/>
  <c r="W112" i="15"/>
  <c r="O113" i="15"/>
  <c r="V112" i="15"/>
  <c r="N112" i="15"/>
  <c r="Z112" i="15" l="1"/>
  <c r="Y112" i="15"/>
  <c r="R112" i="15"/>
  <c r="U114" i="15"/>
  <c r="X114" i="15" s="1"/>
  <c r="AA113" i="15"/>
  <c r="S113" i="15"/>
  <c r="M114" i="15"/>
  <c r="P114" i="15" s="1"/>
  <c r="N113" i="15"/>
  <c r="W113" i="15"/>
  <c r="V113" i="15"/>
  <c r="O114" i="15"/>
  <c r="AA114" i="15" l="1"/>
  <c r="U115" i="15"/>
  <c r="X115" i="15" s="1"/>
  <c r="R113" i="15"/>
  <c r="M115" i="15"/>
  <c r="P115" i="15" s="1"/>
  <c r="S114" i="15"/>
  <c r="Z113" i="15"/>
  <c r="Y113" i="15"/>
  <c r="V114" i="15"/>
  <c r="O115" i="15"/>
  <c r="W114" i="15"/>
  <c r="N114" i="15"/>
  <c r="R114" i="15" l="1"/>
  <c r="AA115" i="15"/>
  <c r="U116" i="15"/>
  <c r="X116" i="15" s="1"/>
  <c r="S115" i="15"/>
  <c r="M116" i="15"/>
  <c r="P116" i="15" s="1"/>
  <c r="Z114" i="15"/>
  <c r="Y114" i="15"/>
  <c r="O116" i="15"/>
  <c r="W115" i="15"/>
  <c r="N115" i="15"/>
  <c r="V115" i="15"/>
  <c r="Z115" i="15" l="1"/>
  <c r="Y115" i="15"/>
  <c r="R115" i="15"/>
  <c r="U117" i="15"/>
  <c r="X117" i="15" s="1"/>
  <c r="AA116" i="15"/>
  <c r="M117" i="15"/>
  <c r="P117" i="15" s="1"/>
  <c r="S116" i="15"/>
  <c r="N116" i="15"/>
  <c r="W116" i="15"/>
  <c r="O117" i="15"/>
  <c r="V116" i="15"/>
  <c r="Z116" i="15" l="1"/>
  <c r="Y116" i="15"/>
  <c r="AA117" i="15"/>
  <c r="U118" i="15"/>
  <c r="X118" i="15" s="1"/>
  <c r="R116" i="15"/>
  <c r="S117" i="15"/>
  <c r="M118" i="15"/>
  <c r="P118" i="15" s="1"/>
  <c r="V117" i="15"/>
  <c r="O118" i="15"/>
  <c r="W117" i="15"/>
  <c r="N117" i="15"/>
  <c r="R117" i="15" l="1"/>
  <c r="M119" i="15"/>
  <c r="P119" i="15" s="1"/>
  <c r="S118" i="15"/>
  <c r="AA118" i="15"/>
  <c r="U119" i="15"/>
  <c r="X119" i="15" s="1"/>
  <c r="Z117" i="15"/>
  <c r="Y117" i="15"/>
  <c r="V118" i="15"/>
  <c r="O119" i="15"/>
  <c r="W118" i="15"/>
  <c r="N118" i="15"/>
  <c r="Z118" i="15" l="1"/>
  <c r="Y118" i="15"/>
  <c r="S119" i="15"/>
  <c r="M120" i="15"/>
  <c r="P120" i="15" s="1"/>
  <c r="R118" i="15"/>
  <c r="AA119" i="15"/>
  <c r="U120" i="15"/>
  <c r="X120" i="15" s="1"/>
  <c r="W119" i="15"/>
  <c r="O120" i="15"/>
  <c r="V119" i="15"/>
  <c r="N119" i="15"/>
  <c r="Z119" i="15" l="1"/>
  <c r="Y119" i="15"/>
  <c r="AA120" i="15"/>
  <c r="U121" i="15"/>
  <c r="X121" i="15" s="1"/>
  <c r="M121" i="15"/>
  <c r="P121" i="15" s="1"/>
  <c r="S120" i="15"/>
  <c r="R119" i="15"/>
  <c r="V120" i="15"/>
  <c r="N120" i="15"/>
  <c r="O121" i="15"/>
  <c r="W120" i="15"/>
  <c r="U122" i="15" l="1"/>
  <c r="X122" i="15" s="1"/>
  <c r="AA121" i="15"/>
  <c r="Z120" i="15"/>
  <c r="Y120" i="15"/>
  <c r="S121" i="15"/>
  <c r="M122" i="15"/>
  <c r="P122" i="15" s="1"/>
  <c r="R120" i="15"/>
  <c r="V121" i="15"/>
  <c r="O122" i="15"/>
  <c r="W121" i="15"/>
  <c r="N121" i="15"/>
  <c r="Z121" i="15" l="1"/>
  <c r="Y121" i="15"/>
  <c r="AA122" i="15"/>
  <c r="U123" i="15"/>
  <c r="X123" i="15" s="1"/>
  <c r="R121" i="15"/>
  <c r="M123" i="15"/>
  <c r="P123" i="15" s="1"/>
  <c r="S122" i="15"/>
  <c r="V122" i="15"/>
  <c r="O123" i="15"/>
  <c r="N122" i="15"/>
  <c r="W122" i="15"/>
  <c r="Z122" i="15" l="1"/>
  <c r="Y122" i="15"/>
  <c r="S123" i="15"/>
  <c r="M124" i="15"/>
  <c r="P124" i="15" s="1"/>
  <c r="R122" i="15"/>
  <c r="AA123" i="15"/>
  <c r="U124" i="15"/>
  <c r="X124" i="15" s="1"/>
  <c r="W123" i="15"/>
  <c r="N123" i="15"/>
  <c r="O124" i="15"/>
  <c r="V123" i="15"/>
  <c r="Z123" i="15" l="1"/>
  <c r="Y123" i="15"/>
  <c r="U125" i="15"/>
  <c r="X125" i="15" s="1"/>
  <c r="AA124" i="15"/>
  <c r="M125" i="15"/>
  <c r="P125" i="15" s="1"/>
  <c r="S124" i="15"/>
  <c r="R123" i="15"/>
  <c r="W124" i="15"/>
  <c r="V124" i="15"/>
  <c r="O125" i="15"/>
  <c r="N124" i="15"/>
  <c r="Z124" i="15" l="1"/>
  <c r="Y124" i="15"/>
  <c r="S125" i="15"/>
  <c r="M126" i="15"/>
  <c r="P126" i="15" s="1"/>
  <c r="AA125" i="15"/>
  <c r="U126" i="15"/>
  <c r="X126" i="15" s="1"/>
  <c r="R124" i="15"/>
  <c r="W125" i="15"/>
  <c r="O126" i="15"/>
  <c r="N125" i="15"/>
  <c r="V125" i="15"/>
  <c r="R125" i="15" l="1"/>
  <c r="Z125" i="15"/>
  <c r="Y125" i="15"/>
  <c r="S126" i="15"/>
  <c r="M127" i="15"/>
  <c r="P127" i="15" s="1"/>
  <c r="U127" i="15"/>
  <c r="X127" i="15" s="1"/>
  <c r="AA126" i="15"/>
  <c r="N126" i="15"/>
  <c r="O127" i="15"/>
  <c r="V126" i="15"/>
  <c r="W126" i="15"/>
  <c r="Z126" i="15" l="1"/>
  <c r="Y126" i="15"/>
  <c r="S127" i="15"/>
  <c r="M128" i="15"/>
  <c r="P128" i="15" s="1"/>
  <c r="R126" i="15"/>
  <c r="AA127" i="15"/>
  <c r="U128" i="15"/>
  <c r="X128" i="15" s="1"/>
  <c r="N127" i="15"/>
  <c r="V127" i="15"/>
  <c r="W127" i="15"/>
  <c r="O128" i="15"/>
  <c r="R127" i="15" l="1"/>
  <c r="M129" i="15"/>
  <c r="P129" i="15" s="1"/>
  <c r="S128" i="15"/>
  <c r="Z127" i="15"/>
  <c r="Y127" i="15"/>
  <c r="AA128" i="15"/>
  <c r="U129" i="15"/>
  <c r="X129" i="15" s="1"/>
  <c r="V128" i="15"/>
  <c r="W128" i="15"/>
  <c r="O129" i="15"/>
  <c r="N128" i="15"/>
  <c r="S129" i="15" l="1"/>
  <c r="M130" i="15"/>
  <c r="P130" i="15" s="1"/>
  <c r="Z128" i="15"/>
  <c r="Y128" i="15"/>
  <c r="U130" i="15"/>
  <c r="X130" i="15" s="1"/>
  <c r="AA129" i="15"/>
  <c r="R128" i="15"/>
  <c r="N129" i="15"/>
  <c r="O130" i="15"/>
  <c r="V129" i="15"/>
  <c r="W129" i="15"/>
  <c r="Z129" i="15" l="1"/>
  <c r="Y129" i="15"/>
  <c r="R129" i="15"/>
  <c r="U131" i="15"/>
  <c r="X131" i="15" s="1"/>
  <c r="AA130" i="15"/>
  <c r="S130" i="15"/>
  <c r="M131" i="15"/>
  <c r="P131" i="15" s="1"/>
  <c r="V130" i="15"/>
  <c r="W130" i="15"/>
  <c r="N130" i="15"/>
  <c r="O131" i="15"/>
  <c r="S131" i="15" l="1"/>
  <c r="M132" i="15"/>
  <c r="P132" i="15" s="1"/>
  <c r="R130" i="15"/>
  <c r="AA131" i="15"/>
  <c r="U132" i="15"/>
  <c r="X132" i="15" s="1"/>
  <c r="Z130" i="15"/>
  <c r="Y130" i="15"/>
  <c r="N131" i="15"/>
  <c r="V131" i="15"/>
  <c r="O132" i="15"/>
  <c r="W131" i="15"/>
  <c r="Z131" i="15" l="1"/>
  <c r="Y131" i="15"/>
  <c r="R131" i="15"/>
  <c r="M133" i="15"/>
  <c r="P133" i="15" s="1"/>
  <c r="S132" i="15"/>
  <c r="U133" i="15"/>
  <c r="X133" i="15" s="1"/>
  <c r="AA132" i="15"/>
  <c r="V132" i="15"/>
  <c r="O133" i="15"/>
  <c r="W132" i="15"/>
  <c r="N132" i="15"/>
  <c r="Z132" i="15" l="1"/>
  <c r="Y132" i="15"/>
  <c r="S133" i="15"/>
  <c r="M134" i="15"/>
  <c r="P134" i="15" s="1"/>
  <c r="AA133" i="15"/>
  <c r="U134" i="15"/>
  <c r="X134" i="15" s="1"/>
  <c r="R132" i="15"/>
  <c r="V133" i="15"/>
  <c r="N133" i="15"/>
  <c r="O134" i="15"/>
  <c r="W133" i="15"/>
  <c r="Z133" i="15" l="1"/>
  <c r="Y133" i="15"/>
  <c r="M135" i="15"/>
  <c r="P135" i="15" s="1"/>
  <c r="S134" i="15"/>
  <c r="R133" i="15"/>
  <c r="AA134" i="15"/>
  <c r="U135" i="15"/>
  <c r="X135" i="15" s="1"/>
  <c r="W134" i="15"/>
  <c r="O135" i="15"/>
  <c r="N134" i="15"/>
  <c r="V134" i="15"/>
  <c r="R134" i="15" l="1"/>
  <c r="Z134" i="15"/>
  <c r="Y134" i="15"/>
  <c r="AA135" i="15"/>
  <c r="U136" i="15"/>
  <c r="X136" i="15" s="1"/>
  <c r="S135" i="15"/>
  <c r="M136" i="15"/>
  <c r="P136" i="15" s="1"/>
  <c r="O136" i="15"/>
  <c r="N135" i="15"/>
  <c r="W135" i="15"/>
  <c r="V135" i="15"/>
  <c r="AA136" i="15" l="1"/>
  <c r="U137" i="15"/>
  <c r="X137" i="15" s="1"/>
  <c r="R135" i="15"/>
  <c r="M137" i="15"/>
  <c r="P137" i="15" s="1"/>
  <c r="S136" i="15"/>
  <c r="Z135" i="15"/>
  <c r="Y135" i="15"/>
  <c r="O137" i="15"/>
  <c r="V136" i="15"/>
  <c r="N136" i="15"/>
  <c r="W136" i="15"/>
  <c r="R136" i="15" l="1"/>
  <c r="Z136" i="15"/>
  <c r="Y136" i="15"/>
  <c r="U138" i="15"/>
  <c r="X138" i="15" s="1"/>
  <c r="AA137" i="15"/>
  <c r="S137" i="15"/>
  <c r="M138" i="15"/>
  <c r="P138" i="15" s="1"/>
  <c r="N137" i="15"/>
  <c r="O138" i="15"/>
  <c r="W137" i="15"/>
  <c r="V137" i="15"/>
  <c r="R137" i="15" l="1"/>
  <c r="AA138" i="15"/>
  <c r="U139" i="15"/>
  <c r="X139" i="15" s="1"/>
  <c r="M139" i="15"/>
  <c r="P139" i="15" s="1"/>
  <c r="S138" i="15"/>
  <c r="Z137" i="15"/>
  <c r="Y137" i="15"/>
  <c r="W138" i="15"/>
  <c r="V138" i="15"/>
  <c r="N138" i="15"/>
  <c r="O139" i="15"/>
  <c r="Z138" i="15" l="1"/>
  <c r="Y138" i="15"/>
  <c r="R138" i="15"/>
  <c r="AA139" i="15"/>
  <c r="U140" i="15"/>
  <c r="X140" i="15" s="1"/>
  <c r="S139" i="15"/>
  <c r="M140" i="15"/>
  <c r="P140" i="15" s="1"/>
  <c r="W139" i="15"/>
  <c r="V139" i="15"/>
  <c r="N139" i="15"/>
  <c r="O140" i="15"/>
  <c r="U141" i="15" l="1"/>
  <c r="X141" i="15" s="1"/>
  <c r="AA140" i="15"/>
  <c r="R139" i="15"/>
  <c r="M141" i="15"/>
  <c r="P141" i="15" s="1"/>
  <c r="S140" i="15"/>
  <c r="Z139" i="15"/>
  <c r="Y139" i="15"/>
  <c r="V140" i="15"/>
  <c r="N140" i="15"/>
  <c r="O141" i="15"/>
  <c r="W140" i="15"/>
  <c r="R140" i="15" l="1"/>
  <c r="S141" i="15"/>
  <c r="M142" i="15"/>
  <c r="P142" i="15" s="1"/>
  <c r="Z140" i="15"/>
  <c r="Y140" i="15"/>
  <c r="AA141" i="15"/>
  <c r="U142" i="15"/>
  <c r="X142" i="15" s="1"/>
  <c r="O142" i="15"/>
  <c r="W141" i="15"/>
  <c r="N141" i="15"/>
  <c r="V141" i="15"/>
  <c r="Z141" i="15" l="1"/>
  <c r="Y141" i="15"/>
  <c r="AA142" i="15"/>
  <c r="U143" i="15"/>
  <c r="X143" i="15" s="1"/>
  <c r="R141" i="15"/>
  <c r="M143" i="15"/>
  <c r="P143" i="15" s="1"/>
  <c r="S142" i="15"/>
  <c r="V142" i="15"/>
  <c r="W142" i="15"/>
  <c r="O143" i="15"/>
  <c r="N142" i="15"/>
  <c r="Z142" i="15" l="1"/>
  <c r="Y142" i="15"/>
  <c r="AA143" i="15"/>
  <c r="U144" i="15"/>
  <c r="X144" i="15" s="1"/>
  <c r="S143" i="15"/>
  <c r="M144" i="15"/>
  <c r="P144" i="15" s="1"/>
  <c r="R142" i="15"/>
  <c r="W143" i="15"/>
  <c r="N143" i="15"/>
  <c r="V143" i="15"/>
  <c r="O144" i="15"/>
  <c r="R143" i="15" l="1"/>
  <c r="M145" i="15"/>
  <c r="P145" i="15" s="1"/>
  <c r="S144" i="15"/>
  <c r="AA144" i="15"/>
  <c r="U145" i="15"/>
  <c r="X145" i="15" s="1"/>
  <c r="Z143" i="15"/>
  <c r="Y143" i="15"/>
  <c r="V144" i="15"/>
  <c r="O145" i="15"/>
  <c r="W144" i="15"/>
  <c r="N144" i="15"/>
  <c r="R144" i="15" l="1"/>
  <c r="Z144" i="15"/>
  <c r="Y144" i="15"/>
  <c r="S145" i="15"/>
  <c r="M146" i="15"/>
  <c r="P146" i="15" s="1"/>
  <c r="U146" i="15"/>
  <c r="X146" i="15" s="1"/>
  <c r="AA145" i="15"/>
  <c r="W145" i="15"/>
  <c r="V145" i="15"/>
  <c r="O146" i="15"/>
  <c r="N145" i="15"/>
  <c r="Z145" i="15" l="1"/>
  <c r="Y145" i="15"/>
  <c r="AA146" i="15"/>
  <c r="U147" i="15"/>
  <c r="X147" i="15" s="1"/>
  <c r="R145" i="15"/>
  <c r="M147" i="15"/>
  <c r="P147" i="15" s="1"/>
  <c r="S146" i="15"/>
  <c r="V146" i="15"/>
  <c r="W146" i="15"/>
  <c r="N146" i="15"/>
  <c r="O147" i="15"/>
  <c r="Z146" i="15" l="1"/>
  <c r="Y146" i="15"/>
  <c r="R146" i="15"/>
  <c r="AA147" i="15"/>
  <c r="U148" i="15"/>
  <c r="X148" i="15" s="1"/>
  <c r="S147" i="15"/>
  <c r="M148" i="15"/>
  <c r="P148" i="15" s="1"/>
  <c r="N147" i="15"/>
  <c r="W147" i="15"/>
  <c r="O148" i="15"/>
  <c r="V147" i="15"/>
  <c r="U149" i="15" l="1"/>
  <c r="X149" i="15" s="1"/>
  <c r="AA148" i="15"/>
  <c r="M149" i="15"/>
  <c r="P149" i="15" s="1"/>
  <c r="S148" i="15"/>
  <c r="R147" i="15"/>
  <c r="Z147" i="15"/>
  <c r="Y147" i="15"/>
  <c r="O149" i="15"/>
  <c r="V148" i="15"/>
  <c r="W148" i="15"/>
  <c r="N148" i="15"/>
  <c r="S149" i="15" l="1"/>
  <c r="M150" i="15"/>
  <c r="P150" i="15" s="1"/>
  <c r="R148" i="15"/>
  <c r="Z148" i="15"/>
  <c r="Y148" i="15"/>
  <c r="U150" i="15"/>
  <c r="X150" i="15" s="1"/>
  <c r="AA149" i="15"/>
  <c r="V149" i="15"/>
  <c r="N149" i="15"/>
  <c r="W149" i="15"/>
  <c r="O150" i="15"/>
  <c r="Z149" i="15" l="1"/>
  <c r="Y149" i="15"/>
  <c r="R149" i="15"/>
  <c r="U151" i="15"/>
  <c r="X151" i="15" s="1"/>
  <c r="AA150" i="15"/>
  <c r="S150" i="15"/>
  <c r="M151" i="15"/>
  <c r="P151" i="15" s="1"/>
  <c r="W150" i="15"/>
  <c r="N150" i="15"/>
  <c r="V150" i="15"/>
  <c r="O151" i="15"/>
  <c r="S151" i="15" l="1"/>
  <c r="M152" i="15"/>
  <c r="P152" i="15" s="1"/>
  <c r="R150" i="15"/>
  <c r="AA151" i="15"/>
  <c r="U152" i="15"/>
  <c r="X152" i="15" s="1"/>
  <c r="Z150" i="15"/>
  <c r="Y150" i="15"/>
  <c r="N151" i="15"/>
  <c r="O152" i="15"/>
  <c r="W151" i="15"/>
  <c r="V151" i="15"/>
  <c r="R151" i="15" l="1"/>
  <c r="S152" i="15"/>
  <c r="M153" i="15"/>
  <c r="P153" i="15" s="1"/>
  <c r="Z151" i="15"/>
  <c r="Y151" i="15"/>
  <c r="U153" i="15"/>
  <c r="X153" i="15" s="1"/>
  <c r="AA152" i="15"/>
  <c r="W152" i="15"/>
  <c r="V152" i="15"/>
  <c r="O153" i="15"/>
  <c r="N152" i="15"/>
  <c r="U154" i="15" l="1"/>
  <c r="X154" i="15" s="1"/>
  <c r="AA153" i="15"/>
  <c r="Z152" i="15"/>
  <c r="Y152" i="15"/>
  <c r="S153" i="15"/>
  <c r="M154" i="15"/>
  <c r="P154" i="15" s="1"/>
  <c r="R152" i="15"/>
  <c r="N153" i="15"/>
  <c r="W153" i="15"/>
  <c r="V153" i="15"/>
  <c r="O154" i="15"/>
  <c r="Z153" i="15" l="1"/>
  <c r="Y153" i="15"/>
  <c r="M155" i="15"/>
  <c r="P155" i="15" s="1"/>
  <c r="S154" i="15"/>
  <c r="R153" i="15"/>
  <c r="U155" i="15"/>
  <c r="X155" i="15" s="1"/>
  <c r="AA154" i="15"/>
  <c r="W154" i="15"/>
  <c r="N154" i="15"/>
  <c r="V154" i="15"/>
  <c r="O155" i="15"/>
  <c r="Z154" i="15" l="1"/>
  <c r="Y154" i="15"/>
  <c r="M156" i="15"/>
  <c r="P156" i="15" s="1"/>
  <c r="S155" i="15"/>
  <c r="R154" i="15"/>
  <c r="U156" i="15"/>
  <c r="X156" i="15" s="1"/>
  <c r="AA155" i="15"/>
  <c r="V155" i="15"/>
  <c r="W155" i="15"/>
  <c r="N155" i="15"/>
  <c r="O156" i="15"/>
  <c r="S156" i="15" l="1"/>
  <c r="M157" i="15"/>
  <c r="P157" i="15" s="1"/>
  <c r="Z155" i="15"/>
  <c r="Y155" i="15"/>
  <c r="R155" i="15"/>
  <c r="U157" i="15"/>
  <c r="X157" i="15" s="1"/>
  <c r="AA156" i="15"/>
  <c r="N156" i="15"/>
  <c r="O157" i="15"/>
  <c r="V156" i="15"/>
  <c r="W156" i="15"/>
  <c r="Z156" i="15" l="1"/>
  <c r="Y156" i="15"/>
  <c r="R156" i="15"/>
  <c r="S157" i="15"/>
  <c r="M158" i="15"/>
  <c r="P158" i="15" s="1"/>
  <c r="U158" i="15"/>
  <c r="X158" i="15" s="1"/>
  <c r="AA157" i="15"/>
  <c r="V157" i="15"/>
  <c r="W157" i="15"/>
  <c r="O158" i="15"/>
  <c r="N157" i="15"/>
  <c r="U159" i="15" l="1"/>
  <c r="X159" i="15" s="1"/>
  <c r="AA158" i="15"/>
  <c r="Z157" i="15"/>
  <c r="Y157" i="15"/>
  <c r="S158" i="15"/>
  <c r="M159" i="15"/>
  <c r="P159" i="15" s="1"/>
  <c r="R157" i="15"/>
  <c r="O159" i="15"/>
  <c r="W158" i="15"/>
  <c r="V158" i="15"/>
  <c r="N158" i="15"/>
  <c r="R158" i="15" l="1"/>
  <c r="Z158" i="15"/>
  <c r="Y158" i="15"/>
  <c r="M160" i="15"/>
  <c r="P160" i="15" s="1"/>
  <c r="S159" i="15"/>
  <c r="AA159" i="15"/>
  <c r="U160" i="15"/>
  <c r="X160" i="15" s="1"/>
  <c r="O160" i="15"/>
  <c r="W159" i="15"/>
  <c r="N159" i="15"/>
  <c r="V159" i="15"/>
  <c r="R159" i="15" l="1"/>
  <c r="Z159" i="15"/>
  <c r="Y159" i="15"/>
  <c r="M161" i="15"/>
  <c r="P161" i="15" s="1"/>
  <c r="S160" i="15"/>
  <c r="U161" i="15"/>
  <c r="X161" i="15" s="1"/>
  <c r="AA160" i="15"/>
  <c r="O161" i="15"/>
  <c r="W160" i="15"/>
  <c r="V160" i="15"/>
  <c r="N160" i="15"/>
  <c r="Z160" i="15" l="1"/>
  <c r="Y160" i="15"/>
  <c r="S161" i="15"/>
  <c r="M162" i="15"/>
  <c r="P162" i="15" s="1"/>
  <c r="AA161" i="15"/>
  <c r="U162" i="15"/>
  <c r="X162" i="15" s="1"/>
  <c r="R160" i="15"/>
  <c r="N161" i="15"/>
  <c r="W161" i="15"/>
  <c r="O162" i="15"/>
  <c r="V161" i="15"/>
  <c r="Z161" i="15" l="1"/>
  <c r="Y161" i="15"/>
  <c r="M163" i="15"/>
  <c r="P163" i="15" s="1"/>
  <c r="S162" i="15"/>
  <c r="AA162" i="15"/>
  <c r="U163" i="15"/>
  <c r="X163" i="15" s="1"/>
  <c r="R161" i="15"/>
  <c r="O163" i="15"/>
  <c r="V162" i="15"/>
  <c r="N162" i="15"/>
  <c r="W162" i="15"/>
  <c r="S163" i="15" l="1"/>
  <c r="M164" i="15"/>
  <c r="P164" i="15" s="1"/>
  <c r="Z162" i="15"/>
  <c r="Y162" i="15"/>
  <c r="R162" i="15"/>
  <c r="AA163" i="15"/>
  <c r="U164" i="15"/>
  <c r="X164" i="15" s="1"/>
  <c r="W163" i="15"/>
  <c r="O164" i="15"/>
  <c r="V163" i="15"/>
  <c r="N163" i="15"/>
  <c r="Z163" i="15" l="1"/>
  <c r="Y163" i="15"/>
  <c r="R163" i="15"/>
  <c r="U165" i="15"/>
  <c r="X165" i="15" s="1"/>
  <c r="AA164" i="15"/>
  <c r="M165" i="15"/>
  <c r="P165" i="15" s="1"/>
  <c r="S164" i="15"/>
  <c r="O165" i="15"/>
  <c r="V164" i="15"/>
  <c r="W164" i="15"/>
  <c r="N164" i="15"/>
  <c r="R164" i="15" l="1"/>
  <c r="U166" i="15"/>
  <c r="X166" i="15" s="1"/>
  <c r="AA165" i="15"/>
  <c r="S165" i="15"/>
  <c r="M166" i="15"/>
  <c r="P166" i="15" s="1"/>
  <c r="Z164" i="15"/>
  <c r="Y164" i="15"/>
  <c r="O166" i="15"/>
  <c r="W165" i="15"/>
  <c r="N165" i="15"/>
  <c r="V165" i="15"/>
  <c r="Z165" i="15" l="1"/>
  <c r="Y165" i="15"/>
  <c r="AA166" i="15"/>
  <c r="U167" i="15"/>
  <c r="X167" i="15" s="1"/>
  <c r="R165" i="15"/>
  <c r="M167" i="15"/>
  <c r="P167" i="15" s="1"/>
  <c r="S166" i="15"/>
  <c r="V166" i="15"/>
  <c r="O167" i="15"/>
  <c r="W166" i="15"/>
  <c r="N166" i="15"/>
  <c r="AA167" i="15" l="1"/>
  <c r="U168" i="15"/>
  <c r="X168" i="15" s="1"/>
  <c r="Z166" i="15"/>
  <c r="Y166" i="15"/>
  <c r="S167" i="15"/>
  <c r="M168" i="15"/>
  <c r="P168" i="15" s="1"/>
  <c r="R166" i="15"/>
  <c r="W167" i="15"/>
  <c r="N167" i="15"/>
  <c r="O168" i="15"/>
  <c r="V167" i="15"/>
  <c r="Z167" i="15" l="1"/>
  <c r="Y167" i="15"/>
  <c r="R167" i="15"/>
  <c r="AA168" i="15"/>
  <c r="U169" i="15"/>
  <c r="X169" i="15" s="1"/>
  <c r="M169" i="15"/>
  <c r="P169" i="15" s="1"/>
  <c r="S168" i="15"/>
  <c r="V168" i="15"/>
  <c r="W168" i="15"/>
  <c r="N168" i="15"/>
  <c r="O169" i="15"/>
  <c r="AA169" i="15" l="1"/>
  <c r="U170" i="15"/>
  <c r="X170" i="15" s="1"/>
  <c r="R168" i="15"/>
  <c r="S169" i="15"/>
  <c r="M170" i="15"/>
  <c r="P170" i="15" s="1"/>
  <c r="Z168" i="15"/>
  <c r="Y168" i="15"/>
  <c r="N169" i="15"/>
  <c r="W169" i="15"/>
  <c r="V169" i="15"/>
  <c r="O170" i="15"/>
  <c r="Z169" i="15" l="1"/>
  <c r="Y169" i="15"/>
  <c r="R169" i="15"/>
  <c r="U171" i="15"/>
  <c r="X171" i="15" s="1"/>
  <c r="AA170" i="15"/>
  <c r="M171" i="15"/>
  <c r="P171" i="15" s="1"/>
  <c r="S170" i="15"/>
  <c r="N170" i="15"/>
  <c r="O171" i="15"/>
  <c r="V170" i="15"/>
  <c r="W170" i="15"/>
  <c r="R170" i="15" l="1"/>
  <c r="AA171" i="15"/>
  <c r="U172" i="15"/>
  <c r="X172" i="15" s="1"/>
  <c r="M172" i="15"/>
  <c r="P172" i="15" s="1"/>
  <c r="S171" i="15"/>
  <c r="Z170" i="15"/>
  <c r="Y170" i="15"/>
  <c r="V171" i="15"/>
  <c r="N171" i="15"/>
  <c r="O172" i="15"/>
  <c r="W171" i="15"/>
  <c r="M173" i="15" l="1"/>
  <c r="P173" i="15" s="1"/>
  <c r="S172" i="15"/>
  <c r="AA172" i="15"/>
  <c r="U173" i="15"/>
  <c r="X173" i="15" s="1"/>
  <c r="Z171" i="15"/>
  <c r="Y171" i="15"/>
  <c r="R171" i="15"/>
  <c r="W172" i="15"/>
  <c r="V172" i="15"/>
  <c r="N172" i="15"/>
  <c r="O173" i="15"/>
  <c r="R172" i="15" l="1"/>
  <c r="AA173" i="15"/>
  <c r="U174" i="15"/>
  <c r="X174" i="15" s="1"/>
  <c r="Z172" i="15"/>
  <c r="Y172" i="15"/>
  <c r="S173" i="15"/>
  <c r="M174" i="15"/>
  <c r="P174" i="15" s="1"/>
  <c r="O174" i="15"/>
  <c r="V173" i="15"/>
  <c r="W173" i="15"/>
  <c r="N173" i="15"/>
  <c r="Z173" i="15" l="1"/>
  <c r="Y173" i="15"/>
  <c r="R173" i="15"/>
  <c r="AA174" i="15"/>
  <c r="U175" i="15"/>
  <c r="X175" i="15" s="1"/>
  <c r="M175" i="15"/>
  <c r="P175" i="15" s="1"/>
  <c r="S174" i="15"/>
  <c r="O175" i="15"/>
  <c r="V174" i="15"/>
  <c r="N174" i="15"/>
  <c r="W174" i="15"/>
  <c r="R174" i="15" l="1"/>
  <c r="AA175" i="15"/>
  <c r="U176" i="15"/>
  <c r="X176" i="15" s="1"/>
  <c r="M176" i="15"/>
  <c r="P176" i="15" s="1"/>
  <c r="S175" i="15"/>
  <c r="Z174" i="15"/>
  <c r="Y174" i="15"/>
  <c r="V175" i="15"/>
  <c r="W175" i="15"/>
  <c r="N175" i="15"/>
  <c r="O176" i="15"/>
  <c r="Z175" i="15" l="1"/>
  <c r="Y175" i="15"/>
  <c r="M177" i="15"/>
  <c r="P177" i="15" s="1"/>
  <c r="S176" i="15"/>
  <c r="R175" i="15"/>
  <c r="AA176" i="15"/>
  <c r="U177" i="15"/>
  <c r="X177" i="15" s="1"/>
  <c r="O177" i="15"/>
  <c r="W176" i="15"/>
  <c r="N176" i="15"/>
  <c r="V176" i="15"/>
  <c r="Z176" i="15" l="1"/>
  <c r="Y176" i="15"/>
  <c r="R176" i="15"/>
  <c r="AA177" i="15"/>
  <c r="U178" i="15"/>
  <c r="X178" i="15" s="1"/>
  <c r="S177" i="15"/>
  <c r="M178" i="15"/>
  <c r="P178" i="15" s="1"/>
  <c r="O178" i="15"/>
  <c r="W177" i="15"/>
  <c r="V177" i="15"/>
  <c r="N177" i="15"/>
  <c r="R177" i="15" l="1"/>
  <c r="AA178" i="15"/>
  <c r="U179" i="15"/>
  <c r="X179" i="15" s="1"/>
  <c r="S178" i="15"/>
  <c r="M179" i="15"/>
  <c r="P179" i="15" s="1"/>
  <c r="Z177" i="15"/>
  <c r="Y177" i="15"/>
  <c r="O179" i="15"/>
  <c r="W178" i="15"/>
  <c r="V178" i="15"/>
  <c r="N178" i="15"/>
  <c r="R178" i="15" l="1"/>
  <c r="Z178" i="15"/>
  <c r="Y178" i="15"/>
  <c r="AA179" i="15"/>
  <c r="U180" i="15"/>
  <c r="X180" i="15" s="1"/>
  <c r="S179" i="15"/>
  <c r="M180" i="15"/>
  <c r="P180" i="15" s="1"/>
  <c r="O180" i="15"/>
  <c r="N179" i="15"/>
  <c r="V179" i="15"/>
  <c r="W179" i="15"/>
  <c r="R179" i="15" l="1"/>
  <c r="AA180" i="15"/>
  <c r="U181" i="15"/>
  <c r="X181" i="15" s="1"/>
  <c r="M181" i="15"/>
  <c r="P181" i="15" s="1"/>
  <c r="S180" i="15"/>
  <c r="Z179" i="15"/>
  <c r="Y179" i="15"/>
  <c r="V180" i="15"/>
  <c r="W180" i="15"/>
  <c r="N180" i="15"/>
  <c r="O181" i="15"/>
  <c r="Z180" i="15" l="1"/>
  <c r="Y180" i="15"/>
  <c r="R180" i="15"/>
  <c r="S181" i="15"/>
  <c r="M182" i="15"/>
  <c r="P182" i="15" s="1"/>
  <c r="AA181" i="15"/>
  <c r="U182" i="15"/>
  <c r="X182" i="15" s="1"/>
  <c r="W181" i="15"/>
  <c r="O182" i="15"/>
  <c r="N181" i="15"/>
  <c r="V181" i="15"/>
  <c r="Z181" i="15" l="1"/>
  <c r="Y181" i="15"/>
  <c r="M183" i="15"/>
  <c r="P183" i="15" s="1"/>
  <c r="S182" i="15"/>
  <c r="AA182" i="15"/>
  <c r="U183" i="15"/>
  <c r="X183" i="15" s="1"/>
  <c r="R181" i="15"/>
  <c r="W182" i="15"/>
  <c r="O183" i="15"/>
  <c r="N182" i="15"/>
  <c r="V182" i="15"/>
  <c r="Z182" i="15" l="1"/>
  <c r="Y182" i="15"/>
  <c r="S183" i="15"/>
  <c r="M184" i="15"/>
  <c r="P184" i="15" s="1"/>
  <c r="R182" i="15"/>
  <c r="AA183" i="15"/>
  <c r="U184" i="15"/>
  <c r="X184" i="15" s="1"/>
  <c r="O184" i="15"/>
  <c r="N183" i="15"/>
  <c r="W183" i="15"/>
  <c r="V183" i="15"/>
  <c r="R183" i="15" l="1"/>
  <c r="Z183" i="15"/>
  <c r="Y183" i="15"/>
  <c r="M185" i="15"/>
  <c r="P185" i="15" s="1"/>
  <c r="S184" i="15"/>
  <c r="AA184" i="15"/>
  <c r="U185" i="15"/>
  <c r="X185" i="15" s="1"/>
  <c r="N184" i="15"/>
  <c r="O185" i="15"/>
  <c r="W184" i="15"/>
  <c r="V184" i="15"/>
  <c r="S185" i="15" l="1"/>
  <c r="M186" i="15"/>
  <c r="P186" i="15" s="1"/>
  <c r="Z184" i="15"/>
  <c r="Y184" i="15"/>
  <c r="AA185" i="15"/>
  <c r="U186" i="15"/>
  <c r="X186" i="15" s="1"/>
  <c r="R184" i="15"/>
  <c r="W185" i="15"/>
  <c r="N185" i="15"/>
  <c r="O186" i="15"/>
  <c r="V185" i="15"/>
  <c r="R185" i="15" l="1"/>
  <c r="M187" i="15"/>
  <c r="P187" i="15" s="1"/>
  <c r="S186" i="15"/>
  <c r="Z185" i="15"/>
  <c r="Y185" i="15"/>
  <c r="U187" i="15"/>
  <c r="X187" i="15" s="1"/>
  <c r="AA186" i="15"/>
  <c r="N186" i="15"/>
  <c r="W186" i="15"/>
  <c r="O187" i="15"/>
  <c r="V186" i="15"/>
  <c r="Z186" i="15" l="1"/>
  <c r="Y186" i="15"/>
  <c r="S187" i="15"/>
  <c r="M188" i="15"/>
  <c r="P188" i="15" s="1"/>
  <c r="R186" i="15"/>
  <c r="AA187" i="15"/>
  <c r="U188" i="15"/>
  <c r="X188" i="15" s="1"/>
  <c r="N187" i="15"/>
  <c r="V187" i="15"/>
  <c r="O188" i="15"/>
  <c r="W187" i="15"/>
  <c r="R187" i="15" l="1"/>
  <c r="AA188" i="15"/>
  <c r="U189" i="15"/>
  <c r="X189" i="15" s="1"/>
  <c r="Z187" i="15"/>
  <c r="Y187" i="15"/>
  <c r="M189" i="15"/>
  <c r="P189" i="15" s="1"/>
  <c r="S188" i="15"/>
  <c r="N188" i="15"/>
  <c r="V188" i="15"/>
  <c r="O189" i="15"/>
  <c r="W188" i="15"/>
  <c r="R188" i="15" l="1"/>
  <c r="S189" i="15"/>
  <c r="M190" i="15"/>
  <c r="P190" i="15" s="1"/>
  <c r="Z188" i="15"/>
  <c r="Y188" i="15"/>
  <c r="AA189" i="15"/>
  <c r="U190" i="15"/>
  <c r="X190" i="15" s="1"/>
  <c r="O190" i="15"/>
  <c r="W189" i="15"/>
  <c r="V189" i="15"/>
  <c r="N189" i="15"/>
  <c r="R189" i="15" l="1"/>
  <c r="S190" i="15"/>
  <c r="M191" i="15"/>
  <c r="P191" i="15" s="1"/>
  <c r="Z189" i="15"/>
  <c r="Y189" i="15"/>
  <c r="U191" i="15"/>
  <c r="X191" i="15" s="1"/>
  <c r="AA190" i="15"/>
  <c r="O191" i="15"/>
  <c r="W190" i="15"/>
  <c r="N190" i="15"/>
  <c r="V190" i="15"/>
  <c r="R190" i="15" l="1"/>
  <c r="Z190" i="15"/>
  <c r="Y190" i="15"/>
  <c r="S191" i="15"/>
  <c r="M192" i="15"/>
  <c r="P192" i="15" s="1"/>
  <c r="AA191" i="15"/>
  <c r="U192" i="15"/>
  <c r="X192" i="15" s="1"/>
  <c r="O192" i="15"/>
  <c r="N191" i="15"/>
  <c r="V191" i="15"/>
  <c r="W191" i="15"/>
  <c r="S192" i="15" l="1"/>
  <c r="M193" i="15"/>
  <c r="P193" i="15" s="1"/>
  <c r="Z191" i="15"/>
  <c r="Y191" i="15"/>
  <c r="AA192" i="15"/>
  <c r="U193" i="15"/>
  <c r="X193" i="15" s="1"/>
  <c r="R191" i="15"/>
  <c r="W192" i="15"/>
  <c r="V192" i="15"/>
  <c r="O193" i="15"/>
  <c r="N192" i="15"/>
  <c r="Z192" i="15" l="1"/>
  <c r="Y192" i="15"/>
  <c r="R192" i="15"/>
  <c r="S193" i="15"/>
  <c r="M194" i="15"/>
  <c r="P194" i="15" s="1"/>
  <c r="AA193" i="15"/>
  <c r="U194" i="15"/>
  <c r="X194" i="15" s="1"/>
  <c r="O194" i="15"/>
  <c r="W193" i="15"/>
  <c r="V193" i="15"/>
  <c r="N193" i="15"/>
  <c r="S194" i="15" l="1"/>
  <c r="M195" i="15"/>
  <c r="P195" i="15" s="1"/>
  <c r="Z193" i="15"/>
  <c r="Y193" i="15"/>
  <c r="U195" i="15"/>
  <c r="X195" i="15" s="1"/>
  <c r="AA194" i="15"/>
  <c r="R193" i="15"/>
  <c r="O195" i="15"/>
  <c r="N194" i="15"/>
  <c r="W194" i="15"/>
  <c r="V194" i="15"/>
  <c r="AA195" i="15" l="1"/>
  <c r="U196" i="15"/>
  <c r="X196" i="15" s="1"/>
  <c r="R194" i="15"/>
  <c r="Z194" i="15"/>
  <c r="Y194" i="15"/>
  <c r="S195" i="15"/>
  <c r="M196" i="15"/>
  <c r="P196" i="15" s="1"/>
  <c r="W195" i="15"/>
  <c r="O196" i="15"/>
  <c r="N195" i="15"/>
  <c r="V195" i="15"/>
  <c r="U197" i="15" l="1"/>
  <c r="X197" i="15" s="1"/>
  <c r="AA196" i="15"/>
  <c r="R195" i="15"/>
  <c r="Z195" i="15"/>
  <c r="Y195" i="15"/>
  <c r="S196" i="15"/>
  <c r="M197" i="15"/>
  <c r="P197" i="15" s="1"/>
  <c r="O197" i="15"/>
  <c r="W196" i="15"/>
  <c r="V196" i="15"/>
  <c r="N196" i="15"/>
  <c r="Z196" i="15" l="1"/>
  <c r="Y196" i="15"/>
  <c r="S197" i="15"/>
  <c r="M198" i="15"/>
  <c r="P198" i="15" s="1"/>
  <c r="R196" i="15"/>
  <c r="AA197" i="15"/>
  <c r="U198" i="15"/>
  <c r="X198" i="15" s="1"/>
  <c r="V197" i="15"/>
  <c r="O198" i="15"/>
  <c r="N197" i="15"/>
  <c r="W197" i="15"/>
  <c r="R197" i="15" l="1"/>
  <c r="Z197" i="15"/>
  <c r="Y197" i="15"/>
  <c r="M199" i="15"/>
  <c r="P199" i="15" s="1"/>
  <c r="S198" i="15"/>
  <c r="U199" i="15"/>
  <c r="X199" i="15" s="1"/>
  <c r="AA198" i="15"/>
  <c r="O199" i="15"/>
  <c r="V198" i="15"/>
  <c r="N198" i="15"/>
  <c r="W198" i="15"/>
  <c r="M200" i="15" l="1"/>
  <c r="P200" i="15" s="1"/>
  <c r="S199" i="15"/>
  <c r="Z198" i="15"/>
  <c r="Y198" i="15"/>
  <c r="AA199" i="15"/>
  <c r="U200" i="15"/>
  <c r="X200" i="15" s="1"/>
  <c r="R198" i="15"/>
  <c r="O200" i="15"/>
  <c r="N199" i="15"/>
  <c r="V199" i="15"/>
  <c r="W199" i="15"/>
  <c r="R199" i="15" l="1"/>
  <c r="Z199" i="15"/>
  <c r="Y199" i="15"/>
  <c r="AA200" i="15"/>
  <c r="R200" i="15"/>
  <c r="S200" i="15"/>
  <c r="V200" i="15"/>
  <c r="W200" i="15"/>
  <c r="N200" i="15"/>
  <c r="Z200" i="15" l="1"/>
  <c r="X2" i="15"/>
  <c r="R31" i="15" l="1"/>
  <c r="S31" i="15" s="1"/>
  <c r="R32" i="15"/>
  <c r="S32" i="15" s="1"/>
  <c r="Z66" i="15" l="1"/>
  <c r="AA66" i="15" s="1"/>
  <c r="Z32" i="15"/>
  <c r="AA32" i="15" l="1"/>
  <c r="P2" i="15" l="1"/>
  <c r="Q44" i="15"/>
  <c r="Q45" i="15" l="1"/>
  <c r="Q46" i="15" s="1"/>
  <c r="Q47" i="15" l="1"/>
  <c r="Q48" i="15" l="1"/>
  <c r="Q49" i="15" l="1"/>
  <c r="Q50" i="15" s="1"/>
  <c r="Q51" i="15" l="1"/>
  <c r="Q52" i="15" l="1"/>
  <c r="Q53" i="15" l="1"/>
  <c r="Q54" i="15" l="1"/>
  <c r="Q55" i="15" s="1"/>
  <c r="Q56" i="15" s="1"/>
  <c r="Q57" i="15" s="1"/>
  <c r="Q58" i="15" s="1"/>
  <c r="Q59" i="15" s="1"/>
  <c r="Q60" i="15" s="1"/>
  <c r="Q61" i="15" s="1"/>
  <c r="Q62" i="15" s="1"/>
  <c r="Q63" i="15" s="1"/>
  <c r="Q64" i="15" s="1"/>
  <c r="Q65" i="15" s="1"/>
  <c r="Q66" i="15" s="1"/>
  <c r="Q67" i="15" s="1"/>
  <c r="Q68" i="15" s="1"/>
  <c r="Q69" i="15" s="1"/>
  <c r="Q70" i="15" s="1"/>
  <c r="Q71" i="15" s="1"/>
  <c r="Q72" i="15" s="1"/>
  <c r="Q73" i="15" s="1"/>
  <c r="Q74" i="15" s="1"/>
  <c r="Q75" i="15" s="1"/>
  <c r="Q76" i="15" s="1"/>
  <c r="Q77" i="15" l="1"/>
  <c r="Q78" i="15" s="1"/>
  <c r="Q79" i="15" s="1"/>
  <c r="Q80" i="15" s="1"/>
  <c r="Q81" i="15" s="1"/>
  <c r="Q82" i="15" s="1"/>
  <c r="Q83" i="15" s="1"/>
  <c r="Q84" i="15" s="1"/>
  <c r="Q85" i="15" s="1"/>
  <c r="Q86" i="15" s="1"/>
  <c r="Q87" i="15" s="1"/>
  <c r="Q88" i="15" s="1"/>
  <c r="Q89" i="15" s="1"/>
  <c r="Q90" i="15" s="1"/>
  <c r="Q91" i="15" s="1"/>
  <c r="Q92" i="15" s="1"/>
  <c r="Q93" i="15" s="1"/>
  <c r="Q94" i="15" s="1"/>
  <c r="Q95" i="15" s="1"/>
  <c r="Q96" i="15" s="1"/>
  <c r="Q97" i="15" s="1"/>
  <c r="Q98" i="15" s="1"/>
  <c r="Q99" i="15" s="1"/>
  <c r="Q100" i="15" s="1"/>
  <c r="Q101" i="15" s="1"/>
  <c r="Q102" i="15" s="1"/>
  <c r="Q103" i="15" s="1"/>
  <c r="Q104" i="15" s="1"/>
  <c r="Q105" i="15" s="1"/>
  <c r="Q106" i="15" s="1"/>
  <c r="Q107" i="15" s="1"/>
  <c r="Q108" i="15" s="1"/>
  <c r="Q109" i="15" s="1"/>
  <c r="Q110" i="15" s="1"/>
  <c r="Q111" i="15" s="1"/>
  <c r="Q112" i="15" s="1"/>
  <c r="Q113" i="15" s="1"/>
  <c r="Q114" i="15" s="1"/>
  <c r="Q115" i="15" s="1"/>
  <c r="Q116" i="15" s="1"/>
  <c r="Q117" i="15" s="1"/>
  <c r="Q118" i="15" s="1"/>
  <c r="Q119" i="15" s="1"/>
  <c r="Q120" i="15" s="1"/>
  <c r="Q121" i="15" s="1"/>
  <c r="Q122" i="15" s="1"/>
  <c r="Q123" i="15" s="1"/>
  <c r="Q124" i="15" s="1"/>
  <c r="Q125" i="15" s="1"/>
  <c r="Q126" i="15" s="1"/>
  <c r="Q127" i="15" s="1"/>
  <c r="Q128" i="15" s="1"/>
  <c r="Q129" i="15" s="1"/>
  <c r="Q130" i="15" s="1"/>
  <c r="Q131" i="15" s="1"/>
  <c r="Q132" i="15" s="1"/>
  <c r="Q133" i="15" s="1"/>
  <c r="Q134" i="15" s="1"/>
  <c r="Q135" i="15" s="1"/>
  <c r="Q136" i="15" s="1"/>
  <c r="Q137" i="15" s="1"/>
  <c r="Q138" i="15" s="1"/>
  <c r="Q139" i="15" s="1"/>
  <c r="Q140" i="15" s="1"/>
  <c r="Q141" i="15" s="1"/>
  <c r="Q142" i="15" s="1"/>
  <c r="Q143" i="15" s="1"/>
  <c r="Q144" i="15" s="1"/>
  <c r="Q145" i="15" s="1"/>
  <c r="Q146" i="15" s="1"/>
  <c r="Q147" i="15" s="1"/>
  <c r="Q148" i="15" s="1"/>
  <c r="Q149" i="15" s="1"/>
  <c r="Q150" i="15" s="1"/>
  <c r="Q151" i="15" s="1"/>
  <c r="Q152" i="15" s="1"/>
  <c r="Q153" i="15" s="1"/>
  <c r="Q154" i="15" s="1"/>
  <c r="Q155" i="15" s="1"/>
  <c r="Q156" i="15" s="1"/>
  <c r="Q157" i="15" s="1"/>
  <c r="Q158" i="15" s="1"/>
  <c r="Q159" i="15" s="1"/>
  <c r="Q160" i="15" s="1"/>
  <c r="Q161" i="15" s="1"/>
  <c r="Q162" i="15" s="1"/>
  <c r="Q163" i="15" s="1"/>
  <c r="Q164" i="15" s="1"/>
  <c r="Q165" i="15" s="1"/>
  <c r="Q166" i="15" s="1"/>
  <c r="Q167" i="15" s="1"/>
  <c r="Q168" i="15" s="1"/>
  <c r="Q169" i="15" s="1"/>
  <c r="Q170" i="15" s="1"/>
  <c r="Q171" i="15" s="1"/>
  <c r="Q172" i="15" s="1"/>
  <c r="Q173" i="15" s="1"/>
  <c r="Q174" i="15" s="1"/>
  <c r="Q175" i="15" s="1"/>
  <c r="Q176" i="15" s="1"/>
  <c r="Q177" i="15" s="1"/>
  <c r="Q178" i="15" s="1"/>
  <c r="Q179" i="15" s="1"/>
  <c r="Q180" i="15" s="1"/>
  <c r="Q181" i="15" s="1"/>
  <c r="Q182" i="15" s="1"/>
  <c r="Q183" i="15" s="1"/>
  <c r="Q184" i="15" s="1"/>
  <c r="Q185" i="15" s="1"/>
  <c r="Q186" i="15" s="1"/>
  <c r="Q187" i="15" s="1"/>
  <c r="Q188" i="15" s="1"/>
  <c r="Q189" i="15" s="1"/>
  <c r="Q190" i="15" s="1"/>
  <c r="Q191" i="15" s="1"/>
  <c r="Q192" i="15" s="1"/>
  <c r="Q193" i="15" s="1"/>
  <c r="Q194" i="15" s="1"/>
  <c r="Q195" i="15" s="1"/>
  <c r="Q196" i="15" s="1"/>
  <c r="Q197" i="15" s="1"/>
  <c r="Q198" i="15" s="1"/>
  <c r="Q199" i="15" s="1"/>
  <c r="Q200" i="15" l="1"/>
  <c r="Q2" i="15" s="1"/>
  <c r="C31" i="15" a="1"/>
  <c r="H31" i="15" l="1"/>
  <c r="E31" i="15"/>
  <c r="D31" i="15"/>
  <c r="C31" i="15"/>
  <c r="G31" i="15"/>
  <c r="I31" i="15"/>
  <c r="F31" i="15"/>
  <c r="R39" i="15" l="1"/>
  <c r="S39" i="15" s="1"/>
  <c r="R40" i="15"/>
  <c r="S40" i="15" s="1"/>
  <c r="R38" i="15"/>
  <c r="S38" i="15" s="1"/>
  <c r="R33" i="15"/>
  <c r="S33" i="15" s="1"/>
  <c r="R35" i="15"/>
  <c r="S35" i="15" s="1"/>
  <c r="R37" i="15"/>
  <c r="S37" i="15" s="1"/>
  <c r="R36" i="15"/>
  <c r="S36" i="15" s="1"/>
  <c r="R34" i="15"/>
  <c r="S34" i="15" s="1"/>
  <c r="R42" i="15"/>
  <c r="S42" i="15" s="1"/>
  <c r="R41" i="15"/>
  <c r="S41" i="15" s="1"/>
  <c r="R43" i="15"/>
  <c r="S43" i="15" s="1"/>
  <c r="R46" i="15"/>
  <c r="S46" i="15" s="1"/>
  <c r="R45" i="15"/>
  <c r="S45" i="15" s="1"/>
  <c r="R44" i="15"/>
  <c r="S44" i="15" s="1"/>
  <c r="R62" i="15"/>
  <c r="S62" i="15" s="1"/>
  <c r="R47" i="15"/>
  <c r="R54" i="15"/>
  <c r="S54" i="15" s="1"/>
  <c r="R57" i="15"/>
  <c r="S57" i="15" s="1"/>
  <c r="R52" i="15"/>
  <c r="S52" i="15" s="1"/>
  <c r="R59" i="15"/>
  <c r="S59" i="15" s="1"/>
  <c r="R48" i="15"/>
  <c r="S48" i="15" s="1"/>
  <c r="R63" i="15"/>
  <c r="S63" i="15" s="1"/>
  <c r="R49" i="15"/>
  <c r="S49" i="15" s="1"/>
  <c r="R55" i="15"/>
  <c r="S55" i="15" s="1"/>
  <c r="R65" i="15"/>
  <c r="S65" i="15" s="1"/>
  <c r="R56" i="15"/>
  <c r="S56" i="15" s="1"/>
  <c r="R51" i="15"/>
  <c r="S51" i="15" s="1"/>
  <c r="R61" i="15"/>
  <c r="S61" i="15" s="1"/>
  <c r="R64" i="15"/>
  <c r="S64" i="15" s="1"/>
  <c r="R58" i="15"/>
  <c r="S58" i="15" s="1"/>
  <c r="R60" i="15"/>
  <c r="S60" i="15" s="1"/>
  <c r="R66" i="15"/>
  <c r="S66" i="15" s="1"/>
  <c r="R50" i="15"/>
  <c r="S50" i="15" s="1"/>
  <c r="R53" i="15"/>
  <c r="S53" i="15" s="1"/>
  <c r="S47" i="15" l="1"/>
  <c r="S2" i="15" s="1"/>
  <c r="Y200" i="15"/>
  <c r="Y2" i="15" s="1"/>
  <c r="K31" i="15"/>
  <c r="C39" i="15" a="1"/>
  <c r="K30" i="15"/>
  <c r="H43" i="15" l="1"/>
  <c r="C39" i="15"/>
  <c r="D39" i="15"/>
  <c r="H39" i="15"/>
  <c r="E39" i="15"/>
  <c r="I39" i="15"/>
  <c r="F39" i="15"/>
  <c r="G39" i="15"/>
  <c r="H42" i="15"/>
  <c r="Z62" i="15" l="1"/>
  <c r="AA62" i="15" s="1"/>
  <c r="Z64" i="15"/>
  <c r="AA64" i="15" s="1"/>
  <c r="Z65" i="15"/>
  <c r="AA65" i="15" s="1"/>
  <c r="Z63" i="15"/>
  <c r="AA63" i="15" s="1"/>
  <c r="Z34" i="15"/>
  <c r="AA34" i="15" s="1"/>
  <c r="Z33" i="15"/>
  <c r="AA33" i="15" s="1"/>
  <c r="Z46" i="15"/>
  <c r="AA46" i="15" s="1"/>
  <c r="Z50" i="15"/>
  <c r="AA50" i="15" s="1"/>
  <c r="Z51" i="15"/>
  <c r="AA51" i="15" s="1"/>
  <c r="Z47" i="15"/>
  <c r="AA47" i="15" s="1"/>
  <c r="Z49" i="15"/>
  <c r="AA49" i="15" s="1"/>
  <c r="Z48" i="15"/>
  <c r="AA48" i="15" s="1"/>
  <c r="Z43" i="15"/>
  <c r="AA43" i="15" s="1"/>
  <c r="Z44" i="15"/>
  <c r="AA44" i="15" s="1"/>
  <c r="Z42" i="15"/>
  <c r="AA42" i="15" s="1"/>
  <c r="Z37" i="15"/>
  <c r="AA37" i="15" s="1"/>
  <c r="Z38" i="15"/>
  <c r="AA38" i="15" s="1"/>
  <c r="Z39" i="15"/>
  <c r="AA39" i="15" s="1"/>
  <c r="Z35" i="15"/>
  <c r="AA35" i="15" s="1"/>
  <c r="Z36" i="15"/>
  <c r="AA36" i="15" s="1"/>
  <c r="Z40" i="15"/>
  <c r="AA40" i="15" s="1"/>
  <c r="Z41" i="15"/>
  <c r="AA41" i="15" s="1"/>
  <c r="Z57" i="15"/>
  <c r="AA57" i="15" s="1"/>
  <c r="Z55" i="15"/>
  <c r="AA55" i="15" s="1"/>
  <c r="Z61" i="15"/>
  <c r="AA61" i="15" s="1"/>
  <c r="Z54" i="15"/>
  <c r="AA54" i="15" s="1"/>
  <c r="Z60" i="15"/>
  <c r="AA60" i="15" s="1"/>
  <c r="Z56" i="15"/>
  <c r="AA56" i="15" s="1"/>
  <c r="Z52" i="15"/>
  <c r="Z53" i="15"/>
  <c r="AA53" i="15" s="1"/>
  <c r="Z58" i="15"/>
  <c r="AA58" i="15" s="1"/>
  <c r="Z59" i="15"/>
  <c r="AA59" i="15" s="1"/>
  <c r="AA52" i="15" l="1"/>
  <c r="AA2" i="15" s="1"/>
  <c r="K39" i="15"/>
  <c r="K38" i="15"/>
  <c r="H46" i="15" l="1"/>
  <c r="H45" i="15"/>
  <c r="F95" i="11" l="1"/>
  <c r="G95" i="11" s="1"/>
  <c r="F91" i="11"/>
  <c r="G91" i="11" s="1"/>
  <c r="F102" i="11"/>
  <c r="G102" i="11" s="1"/>
  <c r="F76" i="11"/>
  <c r="G76" i="11" s="1"/>
  <c r="F78" i="11"/>
  <c r="G78" i="11" s="1"/>
  <c r="F84" i="11"/>
  <c r="G84" i="11" s="1"/>
  <c r="F83" i="11"/>
  <c r="G83" i="11" s="1"/>
  <c r="F80" i="11"/>
  <c r="G80" i="11" s="1"/>
  <c r="F93" i="11"/>
  <c r="G93" i="11" s="1"/>
  <c r="F87" i="11"/>
  <c r="G87" i="11" s="1"/>
  <c r="F100" i="11"/>
  <c r="G100" i="11" s="1"/>
  <c r="F106" i="11"/>
  <c r="G106" i="11" s="1"/>
  <c r="F75" i="11"/>
  <c r="G75" i="11" s="1"/>
  <c r="F85" i="11"/>
  <c r="G85" i="11" s="1"/>
  <c r="F77" i="11"/>
  <c r="G77" i="11" s="1"/>
  <c r="F109" i="11"/>
  <c r="G109" i="11" s="1"/>
  <c r="F74" i="11"/>
  <c r="G74" i="11" s="1"/>
  <c r="F89" i="11"/>
  <c r="G89" i="11" s="1"/>
  <c r="F108" i="11"/>
  <c r="G108" i="11" s="1"/>
  <c r="F86" i="11"/>
  <c r="G86" i="11" s="1"/>
  <c r="F92" i="11"/>
  <c r="G92" i="11" s="1"/>
  <c r="F88" i="11"/>
  <c r="G88" i="11" s="1"/>
  <c r="F81" i="11"/>
  <c r="G81" i="11" s="1"/>
  <c r="F90" i="11"/>
  <c r="G90" i="11" s="1"/>
  <c r="F82" i="11"/>
  <c r="G82" i="11" s="1"/>
  <c r="F110" i="11"/>
  <c r="G110" i="11" s="1"/>
  <c r="F98" i="11"/>
  <c r="G98" i="11" s="1"/>
  <c r="F72" i="11"/>
  <c r="G72" i="11" s="1"/>
  <c r="F101" i="11"/>
  <c r="G101" i="11" s="1"/>
  <c r="F104" i="11"/>
  <c r="G104" i="11" s="1"/>
  <c r="F73" i="11"/>
  <c r="G73" i="11" s="1"/>
  <c r="F79" i="11"/>
  <c r="G79" i="11" s="1"/>
  <c r="F94" i="11"/>
  <c r="G94" i="11" s="1"/>
  <c r="F99" i="11"/>
  <c r="G99" i="11" s="1"/>
  <c r="F107" i="11"/>
  <c r="G107" i="11" s="1"/>
  <c r="F97" i="11"/>
  <c r="G97" i="11" s="1"/>
  <c r="F105" i="11"/>
  <c r="G105" i="11" s="1"/>
  <c r="F71" i="11"/>
  <c r="G71" i="11" s="1"/>
  <c r="F96" i="11"/>
  <c r="G96" i="11" s="1"/>
  <c r="F103" i="11"/>
  <c r="G103" i="11" s="1"/>
  <c r="J17" i="11" a="1"/>
  <c r="M17" i="11" l="1"/>
  <c r="O17" i="11"/>
  <c r="R17" i="11"/>
  <c r="P17" i="11"/>
  <c r="Q17" i="11"/>
  <c r="J17" i="11"/>
  <c r="N17" i="11"/>
  <c r="T17" i="11"/>
  <c r="L17" i="11"/>
  <c r="S17" i="11"/>
  <c r="K17" i="11"/>
  <c r="I29" i="11" l="1"/>
  <c r="I22" i="11"/>
  <c r="I26" i="11"/>
  <c r="I30" i="11"/>
  <c r="I25" i="11"/>
  <c r="I23" i="11"/>
  <c r="I27" i="11"/>
  <c r="I31" i="11"/>
  <c r="I24" i="11"/>
  <c r="I28" i="11"/>
  <c r="K12" i="11" l="1"/>
  <c r="M12" i="11" s="1"/>
</calcChain>
</file>

<file path=xl/sharedStrings.xml><?xml version="1.0" encoding="utf-8"?>
<sst xmlns="http://schemas.openxmlformats.org/spreadsheetml/2006/main" count="809" uniqueCount="605">
  <si>
    <t>MATT MENU SELECTION - 2</t>
  </si>
  <si>
    <t>Louisiana Department of Transportation and Development</t>
  </si>
  <si>
    <t>Metric / English</t>
  </si>
  <si>
    <t>AGGREGATE TEST REPORT</t>
  </si>
  <si>
    <t xml:space="preserve">DOTD 03-22-0745
Metric / English
Rev. 11/98
</t>
  </si>
  <si>
    <t>Project No.</t>
  </si>
  <si>
    <t>Date Sampled</t>
  </si>
  <si>
    <t>Purp code</t>
  </si>
  <si>
    <t>Date Tested</t>
  </si>
  <si>
    <t>Item No.</t>
  </si>
  <si>
    <t>Remarks 1</t>
  </si>
  <si>
    <t>Source Code</t>
  </si>
  <si>
    <t>Spec Code</t>
  </si>
  <si>
    <t>Submitted By</t>
  </si>
  <si>
    <t>Material Code</t>
  </si>
  <si>
    <t>Lab No.</t>
  </si>
  <si>
    <t>Quantity</t>
  </si>
  <si>
    <t>P.O. No.</t>
  </si>
  <si>
    <t>Tested By</t>
  </si>
  <si>
    <t>Date</t>
  </si>
  <si>
    <t>Checked By</t>
  </si>
  <si>
    <t>DOTD TR 102, 112, 113, &amp; 139</t>
  </si>
  <si>
    <t>Unit</t>
  </si>
  <si>
    <t>1 = gram 2 = pounds</t>
  </si>
  <si>
    <t>Sieve</t>
  </si>
  <si>
    <t>mm</t>
  </si>
  <si>
    <t>in</t>
  </si>
  <si>
    <t>Mass (Wt) Retained</t>
  </si>
  <si>
    <t>% Retained</t>
  </si>
  <si>
    <t>% Coarser</t>
  </si>
  <si>
    <t>% Passing</t>
  </si>
  <si>
    <t>5/8</t>
  </si>
  <si>
    <t>3/4</t>
  </si>
  <si>
    <t>1/2</t>
  </si>
  <si>
    <t>3/8</t>
  </si>
  <si>
    <t>No. 4</t>
  </si>
  <si>
    <t>Mass (Wt) Matl.in Pan</t>
  </si>
  <si>
    <t>Accum. Total</t>
  </si>
  <si>
    <t>Initial Dry Total Mass (Wt)</t>
  </si>
  <si>
    <t>% Diff</t>
  </si>
  <si>
    <t>Ident</t>
  </si>
  <si>
    <t>Plant Code</t>
  </si>
  <si>
    <t>Frict. Rating</t>
  </si>
  <si>
    <t>(1 - 4)</t>
  </si>
  <si>
    <t>(M or E - Located on MATT Menu)</t>
  </si>
  <si>
    <t>Sampled By</t>
  </si>
  <si>
    <t>DOTD TR 428</t>
  </si>
  <si>
    <t>Liquid Limit</t>
  </si>
  <si>
    <t>Plastic Limit</t>
  </si>
  <si>
    <t>No. of Blows</t>
  </si>
  <si>
    <t>Mass Cup + Wet Soil,g</t>
  </si>
  <si>
    <t>Mass Cup + Dry Soil,g</t>
  </si>
  <si>
    <t>Mass Water</t>
  </si>
  <si>
    <t>Factor</t>
  </si>
  <si>
    <t>Cup No.</t>
  </si>
  <si>
    <t>Mass Cup,g</t>
  </si>
  <si>
    <t>Mass Dry Soil</t>
  </si>
  <si>
    <t>% Moisture</t>
  </si>
  <si>
    <t>Plasticity Index</t>
  </si>
  <si>
    <t>Absorbtion, % (T84 or T85)</t>
  </si>
  <si>
    <t>Spec Grav SSD (T84 or T85)</t>
  </si>
  <si>
    <t>Spec Grav APP (TR 300)</t>
  </si>
  <si>
    <t>Eff Spec Grav (TR 300)</t>
  </si>
  <si>
    <t>Opt Moist Content, % (TR 418)</t>
  </si>
  <si>
    <t>Lab Comp Method (TR 418)</t>
  </si>
  <si>
    <t>Cement, % (TR 432 or SPECIFIED)</t>
  </si>
  <si>
    <t>Lime % (TR 416 or SPECIFIED)</t>
  </si>
  <si>
    <t xml:space="preserve">Other (Additive) </t>
  </si>
  <si>
    <t>Code</t>
  </si>
  <si>
    <t>%</t>
  </si>
  <si>
    <t>Clay Lumps, % (TR 119)</t>
  </si>
  <si>
    <t>Friable Particles, % (TR 119)</t>
  </si>
  <si>
    <t>Clay Lumps &amp; Friable Particles % (TR 119)</t>
  </si>
  <si>
    <t>Flat or Elongated Part, % (TR 119)</t>
  </si>
  <si>
    <t>Coal &amp; Lignite, % (TR 119)</t>
  </si>
  <si>
    <t>Glassy Particles, % (TR 119)</t>
  </si>
  <si>
    <t>Iron Ore, % (TR 119)</t>
  </si>
  <si>
    <t>Wood, % (TR 119)</t>
  </si>
  <si>
    <t>Total (Clay Lumps, Fri. Part., Iron Ore, Coal &amp;</t>
  </si>
  <si>
    <t>Lignite, Wood), % (TR 119)</t>
  </si>
  <si>
    <t>Foreign Matter, % (TR 109)</t>
  </si>
  <si>
    <t>Clam Shell, % (TR 110)</t>
  </si>
  <si>
    <t>Soundness, % Loss (T 104)</t>
  </si>
  <si>
    <t>Abrasion, % Loss (T 96)</t>
  </si>
  <si>
    <t>Colorimetric Test (1 = Pass, 2 = Fail) (T 21)</t>
  </si>
  <si>
    <t>Asphalt Content, % (TR 307)</t>
  </si>
  <si>
    <t>Retained Asphalt Coating, % (TR 317)</t>
  </si>
  <si>
    <t>Percent Crushed (TR 306)</t>
  </si>
  <si>
    <t>Retained Marshall Stability (TR 313)</t>
  </si>
  <si>
    <t>Resistivity, ohm - cm (TR 313)</t>
  </si>
  <si>
    <t>pH (TR 430)</t>
  </si>
  <si>
    <t>Organic Contenet, % (TR 429)</t>
  </si>
  <si>
    <t>Sand Equivalent (TR 120)</t>
  </si>
  <si>
    <r>
      <t>Maximum Density (TR 418) kg/m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(lb/ft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</si>
  <si>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t>Remarks 2</t>
  </si>
  <si>
    <t>Approved By</t>
  </si>
  <si>
    <t>APPARENT SPECIFIC GRAVITY</t>
  </si>
  <si>
    <t xml:space="preserve"> (DOTD TR 300)</t>
  </si>
  <si>
    <t>Mass in Air</t>
  </si>
  <si>
    <t>a</t>
  </si>
  <si>
    <t>Coarse Aggregate</t>
  </si>
  <si>
    <t>Mass in Water</t>
  </si>
  <si>
    <t>Difference</t>
  </si>
  <si>
    <t>Apparent Specific Gravity</t>
  </si>
  <si>
    <t>b</t>
  </si>
  <si>
    <t>c</t>
  </si>
  <si>
    <t>D</t>
  </si>
  <si>
    <t>a - b</t>
  </si>
  <si>
    <t>a/c</t>
  </si>
  <si>
    <t>Fine Aggregate</t>
  </si>
  <si>
    <t>Flask No.</t>
  </si>
  <si>
    <t>Mass of Flask &amp; Dry Sand</t>
  </si>
  <si>
    <t>Mass of Flask</t>
  </si>
  <si>
    <t>Mass of Dry Sand</t>
  </si>
  <si>
    <t>Mass of Flask + Sand + Water</t>
  </si>
  <si>
    <t>Combined Coarse and Fine Aggregate</t>
  </si>
  <si>
    <t>% Passing 4.75mm (No. 4) Sieve</t>
  </si>
  <si>
    <t>Coarse Spec Grav Portion</t>
  </si>
  <si>
    <t>Fine Spec Grav Portion</t>
  </si>
  <si>
    <t>Apparent Spec Grav</t>
  </si>
  <si>
    <t>d</t>
  </si>
  <si>
    <t>E</t>
  </si>
  <si>
    <t>F</t>
  </si>
  <si>
    <t>G</t>
  </si>
  <si>
    <t>H</t>
  </si>
  <si>
    <t>I</t>
  </si>
  <si>
    <t>d/(498.6 - c + a)</t>
  </si>
  <si>
    <t>(100 - F) D</t>
  </si>
  <si>
    <t>(F) E</t>
  </si>
  <si>
    <t>G + H</t>
  </si>
  <si>
    <t>EFFECTIVE SPECIFIC GRAVITY</t>
  </si>
  <si>
    <t>Mass of Aggregate</t>
  </si>
  <si>
    <t>Mass of Mix</t>
  </si>
  <si>
    <t>% Asphalt in Mix</t>
  </si>
  <si>
    <t>Mass of Jar + Water</t>
  </si>
  <si>
    <t>Mass of Jar + Water + Mix</t>
  </si>
  <si>
    <t>Spec Grav of Mix</t>
  </si>
  <si>
    <t>% Aggregate in Mix</t>
  </si>
  <si>
    <t>Specific Gravity of Asphalt Cement</t>
  </si>
  <si>
    <t>Effective Spec Grav of Aggregate</t>
  </si>
  <si>
    <t>A</t>
  </si>
  <si>
    <t>B</t>
  </si>
  <si>
    <t>C</t>
  </si>
  <si>
    <t>X</t>
  </si>
  <si>
    <t>(B - A)/B * 100</t>
  </si>
  <si>
    <t>B/(D + B - E)</t>
  </si>
  <si>
    <t>100 - C</t>
  </si>
  <si>
    <t xml:space="preserve">    X    </t>
  </si>
  <si>
    <t>(100/F) - (C/H)</t>
  </si>
  <si>
    <t>SPECIFIC GRAVITY AND ABSORPTION OF COARSE AGGREGATE</t>
  </si>
  <si>
    <t>(AASHTO T85)</t>
  </si>
  <si>
    <t>Mass of Oven Dry Test Sample in Air, g</t>
  </si>
  <si>
    <t>Mass of Saturated Surf Dry Test Sample in Air,g</t>
  </si>
  <si>
    <t>Mass of Saturated Test Sample in Water,g</t>
  </si>
  <si>
    <t>Bulk Spec Grav (Saturated-Surf-Dry)</t>
  </si>
  <si>
    <t>Absorption, %</t>
  </si>
  <si>
    <t>B/(B - C)</t>
  </si>
  <si>
    <t>(B - A)/A *100</t>
  </si>
  <si>
    <t xml:space="preserve"> (DOTD TR 109)</t>
  </si>
  <si>
    <t>Mass of Material Removed by Hand</t>
  </si>
  <si>
    <t>Mass of Dried Portion</t>
  </si>
  <si>
    <t>Mass Total Sample</t>
  </si>
  <si>
    <t>Mass of Portion After Wash, Dry</t>
  </si>
  <si>
    <t>Mass of Material Removed by Wash</t>
  </si>
  <si>
    <t>Foreign Matter, %</t>
  </si>
  <si>
    <t>A + D</t>
  </si>
  <si>
    <t>D - E</t>
  </si>
  <si>
    <t>(A + C) * 100</t>
  </si>
  <si>
    <t xml:space="preserve">PERCENT FOREIGN MATTER           </t>
  </si>
  <si>
    <t xml:space="preserve">PERCENT CLAM SHELL               </t>
  </si>
  <si>
    <t xml:space="preserve"> (DOTD TR 110)</t>
  </si>
  <si>
    <t>Mass Retained 4.75 mm (No. 4)</t>
  </si>
  <si>
    <t>Mass Clam Shell</t>
  </si>
  <si>
    <t>Clam Shell, %</t>
  </si>
  <si>
    <t>B/A*100</t>
  </si>
  <si>
    <t>mm/μm</t>
  </si>
  <si>
    <t>No.</t>
  </si>
  <si>
    <t>50</t>
  </si>
  <si>
    <t>80</t>
  </si>
  <si>
    <t>100</t>
  </si>
  <si>
    <t>200</t>
  </si>
  <si>
    <t>270</t>
  </si>
  <si>
    <t>MATT MENU SELECTION - 14</t>
  </si>
  <si>
    <t>SOILS/SOIL - AGGREGATE</t>
  </si>
  <si>
    <t xml:space="preserve">DOTD 03-22-0723
Metric / English
Rev. 10/99
</t>
  </si>
  <si>
    <t>Pit No.</t>
  </si>
  <si>
    <t>From Station</t>
  </si>
  <si>
    <t>+</t>
  </si>
  <si>
    <t>To Station</t>
  </si>
  <si>
    <t>Hole No.</t>
  </si>
  <si>
    <t>Depth, m (ft)</t>
  </si>
  <si>
    <t>Location</t>
  </si>
  <si>
    <t>Log Distance, km (mi)</t>
  </si>
  <si>
    <t>RETAINED ON 2.00 mm (10)</t>
  </si>
  <si>
    <t>(TR 418 - Method H)</t>
  </si>
  <si>
    <t>Mass Cup + Soil, g</t>
  </si>
  <si>
    <t>Mass Cup, g</t>
  </si>
  <si>
    <t>Mass Soil, g</t>
  </si>
  <si>
    <t>Hydrometer Analysis</t>
  </si>
  <si>
    <t>(DOTD TR 407)</t>
  </si>
  <si>
    <t>Graduate No.</t>
  </si>
  <si>
    <t>Dry Mass of Sample (W), g (1 = 50.0, 2 = 100.0)</t>
  </si>
  <si>
    <t>Time</t>
  </si>
  <si>
    <t>(T)
Elapsed
Time</t>
  </si>
  <si>
    <r>
      <t xml:space="preserve">Temp </t>
    </r>
    <r>
      <rPr>
        <sz val="8"/>
        <rFont val="Calibri"/>
        <family val="2"/>
      </rPr>
      <t>°</t>
    </r>
    <r>
      <rPr>
        <sz val="8"/>
        <rFont val="Arial"/>
        <family val="2"/>
      </rPr>
      <t>C
(0.5</t>
    </r>
    <r>
      <rPr>
        <sz val="8"/>
        <rFont val="Calibri"/>
        <family val="2"/>
      </rPr>
      <t>°</t>
    </r>
    <r>
      <rPr>
        <sz val="8"/>
        <rFont val="Arial"/>
        <family val="2"/>
      </rPr>
      <t xml:space="preserve"> increments)</t>
    </r>
  </si>
  <si>
    <t>(h)
Hydro Reading
(0.5 increments)</t>
  </si>
  <si>
    <t>(C)
Correction
(0.5 increments)</t>
  </si>
  <si>
    <t>Corrected
Reading
H = h - C</t>
  </si>
  <si>
    <t>% Finer</t>
  </si>
  <si>
    <t>Effect. Grain Size</t>
  </si>
  <si>
    <t>60 Minutes</t>
  </si>
  <si>
    <t>120 Minutes</t>
  </si>
  <si>
    <t>(TR 407 &amp; 418 - Method H)</t>
  </si>
  <si>
    <t>Size</t>
  </si>
  <si>
    <t>Total Mass, g</t>
  </si>
  <si>
    <t>25.0 mm (1)</t>
  </si>
  <si>
    <t>19.0 mm (3/4)</t>
  </si>
  <si>
    <t>12.5 mm (1/2)</t>
  </si>
  <si>
    <t>4.75 mm (4)</t>
  </si>
  <si>
    <t>2.00 mm (10)</t>
  </si>
  <si>
    <t>425 µm (40)</t>
  </si>
  <si>
    <t>75 µm (200)</t>
  </si>
  <si>
    <t>% Silt</t>
  </si>
  <si>
    <t>% Clay &amp; Colloids</t>
  </si>
  <si>
    <t>Pass 4.75 mm (#4)</t>
  </si>
  <si>
    <t>Pass 2.00mm (#10)</t>
  </si>
  <si>
    <t>Mass Retained (Wx)</t>
  </si>
  <si>
    <t>Gram</t>
  </si>
  <si>
    <t>% Ret. 25.0 mm (1)</t>
  </si>
  <si>
    <t>% Ret. 19.0 mm (3/4)</t>
  </si>
  <si>
    <t>% Ret. 12.5 mm (1/2)</t>
  </si>
  <si>
    <t>% Ret. 4.75 mm (4)</t>
  </si>
  <si>
    <t>% Ret. 2.00 mm (10)</t>
  </si>
  <si>
    <t>% Ret. 425 µm (40)</t>
  </si>
  <si>
    <t>% Ret. 75 mµ (200)</t>
  </si>
  <si>
    <t>% Clay and Colloids</t>
  </si>
  <si>
    <t>% Pass 2.00 mm (#10)</t>
  </si>
  <si>
    <t>% Pass 425 µm (#40)</t>
  </si>
  <si>
    <t>% Pass 75 µm (#200)</t>
  </si>
  <si>
    <t>% Sand (Tot. Material)</t>
  </si>
  <si>
    <t>% Unadjusted Silt</t>
  </si>
  <si>
    <t>% Unadjusted Sand</t>
  </si>
  <si>
    <t>% Unadjusted Clay</t>
  </si>
  <si>
    <t>LIQUID LIMIT</t>
  </si>
  <si>
    <r>
      <t xml:space="preserve">RETAINED ON 425 </t>
    </r>
    <r>
      <rPr>
        <b/>
        <u/>
        <sz val="8"/>
        <rFont val="Calibri"/>
        <family val="2"/>
      </rPr>
      <t>µ</t>
    </r>
    <r>
      <rPr>
        <b/>
        <u/>
        <sz val="8"/>
        <rFont val="Arial"/>
        <family val="2"/>
      </rPr>
      <t>m (40)</t>
    </r>
  </si>
  <si>
    <r>
      <t xml:space="preserve">RETAINED ON 75 </t>
    </r>
    <r>
      <rPr>
        <b/>
        <u/>
        <sz val="8"/>
        <rFont val="Calibri"/>
        <family val="2"/>
      </rPr>
      <t>µ</t>
    </r>
    <r>
      <rPr>
        <b/>
        <u/>
        <sz val="8"/>
        <rFont val="Arial"/>
        <family val="2"/>
      </rPr>
      <t>m (200)</t>
    </r>
  </si>
  <si>
    <t>No. Blows</t>
  </si>
  <si>
    <t>Mass Cup + Wet Soil, g</t>
  </si>
  <si>
    <t>Mass Cup + Dry Soil, g</t>
  </si>
  <si>
    <t>Mass Water, g</t>
  </si>
  <si>
    <t>Mass Dry Soil, g</t>
  </si>
  <si>
    <t>PLASTIC LIMIT</t>
  </si>
  <si>
    <t>% Organic Matter (TR 413)</t>
  </si>
  <si>
    <t>Liquid Limit (TR 428)</t>
  </si>
  <si>
    <t>Plasticity Index (TR 428)</t>
  </si>
  <si>
    <t>Natural Moisture Content, % (TR 403)</t>
  </si>
  <si>
    <t>Optimum Moisture Content, % (TR 418)</t>
  </si>
  <si>
    <r>
      <t>Maximum Density, kg/m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(lb/ft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 (TR 418)</t>
    </r>
  </si>
  <si>
    <t>Laboratory Compaction Method (TR 418)</t>
  </si>
  <si>
    <t>% Cement (TR 432 or Plans)</t>
  </si>
  <si>
    <t>% Lime (TR 416)</t>
  </si>
  <si>
    <t>% Fly Ash</t>
  </si>
  <si>
    <t>% Other (Additive)</t>
  </si>
  <si>
    <t>Soil Group (TR 423)</t>
  </si>
  <si>
    <t>Classification (TR 423)</t>
  </si>
  <si>
    <t>Resistivity, ohm-cm (TR 429)</t>
  </si>
  <si>
    <t>Percent</t>
  </si>
  <si>
    <t>(Required only if + 2.00 mm (No.10) material equals or exceeds 5%</t>
  </si>
  <si>
    <r>
      <t xml:space="preserve">Classification Prefix (TR 423)       </t>
    </r>
    <r>
      <rPr>
        <sz val="7"/>
        <rFont val="Arial"/>
        <family val="2"/>
      </rPr>
      <t>(G = Siliceous Aggr.   N = Non-Siliceous    S = Shell)</t>
    </r>
  </si>
  <si>
    <t>Tested By:</t>
  </si>
  <si>
    <t>Date:</t>
  </si>
  <si>
    <t>Checked By:</t>
  </si>
  <si>
    <t>APPROVED BY:</t>
  </si>
  <si>
    <t>DATE:</t>
  </si>
  <si>
    <t>Project No:</t>
  </si>
  <si>
    <t>Sampled By:</t>
  </si>
  <si>
    <t>Lab Number:</t>
  </si>
  <si>
    <t>Date Rec'd. at Lab.</t>
  </si>
  <si>
    <r>
      <rPr>
        <b/>
        <sz val="8"/>
        <rFont val="Arial"/>
        <family val="2"/>
      </rPr>
      <t xml:space="preserve">Organic </t>
    </r>
    <r>
      <rPr>
        <sz val="8"/>
        <rFont val="Arial"/>
        <family val="2"/>
      </rPr>
      <t>(DOTD TR 413)</t>
    </r>
  </si>
  <si>
    <t>Oven Dry Soil &amp; Dish</t>
  </si>
  <si>
    <t>Mass Dish</t>
  </si>
  <si>
    <t>Oven Dry Sample (A)</t>
  </si>
  <si>
    <t>Furnace Dry Soil &amp; Dish</t>
  </si>
  <si>
    <t>Furnace Dry Soil (B)</t>
  </si>
  <si>
    <t>% Organic</t>
  </si>
  <si>
    <t>Check By:</t>
  </si>
  <si>
    <t>Mass Container &amp; Wet Soil</t>
  </si>
  <si>
    <t>Mass Container &amp; Dry Soil</t>
  </si>
  <si>
    <t>Mass Container</t>
  </si>
  <si>
    <r>
      <rPr>
        <b/>
        <sz val="8"/>
        <rFont val="Arial"/>
        <family val="2"/>
      </rPr>
      <t>pH Value</t>
    </r>
    <r>
      <rPr>
        <sz val="8"/>
        <rFont val="Arial"/>
        <family val="2"/>
      </rPr>
      <t xml:space="preserve"> (DOTD TR 430)</t>
    </r>
  </si>
  <si>
    <r>
      <t xml:space="preserve">Natural Moisture Content </t>
    </r>
    <r>
      <rPr>
        <sz val="8"/>
        <rFont val="Arial"/>
        <family val="2"/>
      </rPr>
      <t>(DOTD TR 403)</t>
    </r>
  </si>
  <si>
    <t>15 Minutes</t>
  </si>
  <si>
    <t>30 Minutes</t>
  </si>
  <si>
    <t>45 Minutes</t>
  </si>
  <si>
    <t>pH Value</t>
  </si>
  <si>
    <r>
      <rPr>
        <b/>
        <sz val="8"/>
        <rFont val="Arial"/>
        <family val="2"/>
      </rPr>
      <t>Resistivity Value</t>
    </r>
    <r>
      <rPr>
        <sz val="8"/>
        <rFont val="Arial"/>
        <family val="2"/>
      </rPr>
      <t xml:space="preserve"> (DOTD TR 429)</t>
    </r>
  </si>
  <si>
    <t>Dry Mass of Sample, g</t>
  </si>
  <si>
    <t>PI</t>
  </si>
  <si>
    <t>Minimum Resistivity</t>
  </si>
  <si>
    <t>OHM - CM</t>
  </si>
  <si>
    <t>Meter Rdg. (OHM - CM)</t>
  </si>
  <si>
    <r>
      <t>H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O Added (mL)</t>
    </r>
  </si>
  <si>
    <t>mL</t>
  </si>
  <si>
    <t>)</t>
  </si>
  <si>
    <r>
      <rPr>
        <b/>
        <sz val="8"/>
        <rFont val="Arial"/>
        <family val="2"/>
      </rPr>
      <t>Moisture-Density Relationship</t>
    </r>
    <r>
      <rPr>
        <sz val="8"/>
        <rFont val="Arial"/>
        <family val="2"/>
      </rPr>
      <t xml:space="preserve"> (DOTD 418, Method</t>
    </r>
  </si>
  <si>
    <t>Dens.
Opt. Moist.</t>
  </si>
  <si>
    <r>
      <t>Wet Mass Density, kg/m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(lb/ft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</si>
  <si>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r>
      <t>Dry Mass Density, kg/m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(lb/ft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</si>
  <si>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t>Moisture Content, %</t>
  </si>
  <si>
    <t>WWD</t>
  </si>
  <si>
    <t>MC</t>
  </si>
  <si>
    <t>DWD</t>
  </si>
  <si>
    <r>
      <rPr>
        <b/>
        <sz val="8"/>
        <rFont val="Arial"/>
        <family val="2"/>
      </rPr>
      <t>Moisture-Density Relationship</t>
    </r>
    <r>
      <rPr>
        <sz val="8"/>
        <rFont val="Arial"/>
        <family val="2"/>
      </rPr>
      <t xml:space="preserve"> (DOTD TR 415, Family)</t>
    </r>
  </si>
  <si>
    <t>Wet Mass</t>
  </si>
  <si>
    <t>Moist. Cont.</t>
  </si>
  <si>
    <t>Max Dry Density</t>
  </si>
  <si>
    <t>Opt. Moisture</t>
  </si>
  <si>
    <t>Zone No.</t>
  </si>
  <si>
    <t>A-1-a</t>
  </si>
  <si>
    <t>A-1-b</t>
  </si>
  <si>
    <t>A-3</t>
  </si>
  <si>
    <t>A-2-4</t>
  </si>
  <si>
    <t>A-2-5</t>
  </si>
  <si>
    <t>A-2-6</t>
  </si>
  <si>
    <t>A-2-7</t>
  </si>
  <si>
    <t>A-4</t>
  </si>
  <si>
    <t>A-5</t>
  </si>
  <si>
    <t>A-6</t>
  </si>
  <si>
    <t>A-8</t>
  </si>
  <si>
    <t>A-7-5</t>
  </si>
  <si>
    <t>A-7-6</t>
  </si>
  <si>
    <t>Organic</t>
  </si>
  <si>
    <t>Sand</t>
  </si>
  <si>
    <t>SA</t>
  </si>
  <si>
    <t>Sandly Loam</t>
  </si>
  <si>
    <t>SDY LM</t>
  </si>
  <si>
    <t>Loam</t>
  </si>
  <si>
    <t>LM</t>
  </si>
  <si>
    <t>Silty Loam</t>
  </si>
  <si>
    <t>STY LM</t>
  </si>
  <si>
    <t>Silt</t>
  </si>
  <si>
    <t>SI</t>
  </si>
  <si>
    <t>Sandy Clay Loam</t>
  </si>
  <si>
    <t>SDY CL LM</t>
  </si>
  <si>
    <t>Clay Loam</t>
  </si>
  <si>
    <t>CL LM</t>
  </si>
  <si>
    <t>Silty Clay Loam</t>
  </si>
  <si>
    <t>STY CL LM</t>
  </si>
  <si>
    <t>Lt. Sandy Clay</t>
  </si>
  <si>
    <t>LT SDY CL</t>
  </si>
  <si>
    <t>Lt. Silty Clay</t>
  </si>
  <si>
    <t>LT STY CL</t>
  </si>
  <si>
    <t>Med. Sandy Clay</t>
  </si>
  <si>
    <t>MED SDY CL</t>
  </si>
  <si>
    <t>Med. Silty Clay</t>
  </si>
  <si>
    <t>MED STY CL</t>
  </si>
  <si>
    <t>Heavy Clay</t>
  </si>
  <si>
    <t>HVY CL</t>
  </si>
  <si>
    <t>Sandy Clay</t>
  </si>
  <si>
    <t>SDY CL</t>
  </si>
  <si>
    <t>Silty Clay</t>
  </si>
  <si>
    <t>STY CL</t>
  </si>
  <si>
    <t>MATT MENU SELECTION - 07</t>
  </si>
  <si>
    <t>DENSITY &amp; MOISTURE CONTENT WORK SHEET</t>
  </si>
  <si>
    <t xml:space="preserve">DOTD 03-22-0750
Metric / English
Rev. 12/98
</t>
  </si>
  <si>
    <t>Purpose code</t>
  </si>
  <si>
    <t>Test Method</t>
  </si>
  <si>
    <t>N = Nuclear   S = Sand Cone</t>
  </si>
  <si>
    <t>Station Tested</t>
  </si>
  <si>
    <t>Section &amp; Test No.</t>
  </si>
  <si>
    <t>Location:</t>
  </si>
  <si>
    <t>Lift No:</t>
  </si>
  <si>
    <t>Depth of Test:</t>
  </si>
  <si>
    <t>OM:</t>
  </si>
  <si>
    <t>Optimum % Moisture Content of Total Material (TR 415 or 418)</t>
  </si>
  <si>
    <t>OM</t>
  </si>
  <si>
    <t>%FM:</t>
  </si>
  <si>
    <r>
      <t>P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:</t>
    </r>
  </si>
  <si>
    <r>
      <t>P</t>
    </r>
    <r>
      <rPr>
        <vertAlign val="subscript"/>
        <sz val="8"/>
        <rFont val="Arial"/>
        <family val="2"/>
      </rPr>
      <t>1</t>
    </r>
    <r>
      <rPr>
        <sz val="8"/>
        <rFont val="Arial"/>
        <family val="2"/>
      </rPr>
      <t>:</t>
    </r>
  </si>
  <si>
    <t>Field % Moisture Content at Compaction (TR 403) (see back for calculations)</t>
  </si>
  <si>
    <t>% Pulverization 19mm (3/4" SIEVE) (TR 431) (see back for calculations)</t>
  </si>
  <si>
    <t>%FM</t>
  </si>
  <si>
    <r>
      <t>P</t>
    </r>
    <r>
      <rPr>
        <vertAlign val="subscript"/>
        <sz val="8"/>
        <rFont val="Arial"/>
        <family val="2"/>
      </rPr>
      <t>1</t>
    </r>
  </si>
  <si>
    <r>
      <t>P</t>
    </r>
    <r>
      <rPr>
        <vertAlign val="subscript"/>
        <sz val="8"/>
        <rFont val="Arial"/>
        <family val="2"/>
      </rPr>
      <t>2</t>
    </r>
  </si>
  <si>
    <t xml:space="preserve">a: </t>
  </si>
  <si>
    <t>Total Wet Mass (Wt.) of Sample</t>
  </si>
  <si>
    <t>b:</t>
  </si>
  <si>
    <t>c:</t>
  </si>
  <si>
    <t>d:</t>
  </si>
  <si>
    <t>e:</t>
  </si>
  <si>
    <t>f:</t>
  </si>
  <si>
    <t>g:</t>
  </si>
  <si>
    <t>h:</t>
  </si>
  <si>
    <t>i:</t>
  </si>
  <si>
    <t>j:</t>
  </si>
  <si>
    <t>k:</t>
  </si>
  <si>
    <t>l:</t>
  </si>
  <si>
    <t>Mass (Wt.) of +4.75 (+4) Material</t>
  </si>
  <si>
    <t>% By Mass (Wt.) of 4.75 (+4) Retained (100 b/a)</t>
  </si>
  <si>
    <t>Mass (Wt.) of Mold &amp; Soil</t>
  </si>
  <si>
    <t>Mass (Wt.) of Mold</t>
  </si>
  <si>
    <t>Mass (Wt.) of Compacted Soil (d - e)</t>
  </si>
  <si>
    <t xml:space="preserve">Wet Density </t>
  </si>
  <si>
    <t>Mass (Wt.) of Wet Soil</t>
  </si>
  <si>
    <t>Mass (Wt.) of Dry Soil</t>
  </si>
  <si>
    <t>Mass (Wt.) of Water (h - i)</t>
  </si>
  <si>
    <t>% Moisture Content (100 j / i) (TR 403)</t>
  </si>
  <si>
    <t>Dry Density 100g / (100 + k)</t>
  </si>
  <si>
    <t>Max. Dry Density Method</t>
  </si>
  <si>
    <t>om (from Family of Curves):</t>
  </si>
  <si>
    <t>pr (from Family of Curves):</t>
  </si>
  <si>
    <t>FAMILY OF CURVES ZONE NUMBER</t>
  </si>
  <si>
    <t>(TR 415) Cross Reference Test No.</t>
  </si>
  <si>
    <r>
      <rPr>
        <b/>
        <sz val="8"/>
        <rFont val="Arial"/>
        <family val="2"/>
      </rPr>
      <t>SAND METHOD</t>
    </r>
    <r>
      <rPr>
        <sz val="8"/>
        <rFont val="Arial"/>
        <family val="2"/>
      </rPr>
      <t xml:space="preserve">
(TR 401)</t>
    </r>
  </si>
  <si>
    <t>SA:</t>
  </si>
  <si>
    <t>Mass (Wt.) of Sand in Mold</t>
  </si>
  <si>
    <t>SB:</t>
  </si>
  <si>
    <t>SC:</t>
  </si>
  <si>
    <t>SD:</t>
  </si>
  <si>
    <t>SE:</t>
  </si>
  <si>
    <t>SF:</t>
  </si>
  <si>
    <t>SG:</t>
  </si>
  <si>
    <t>SH:</t>
  </si>
  <si>
    <t>SI:</t>
  </si>
  <si>
    <t>SJ:</t>
  </si>
  <si>
    <t>SV:</t>
  </si>
  <si>
    <t>SW:</t>
  </si>
  <si>
    <t>SSD:</t>
  </si>
  <si>
    <t>PR:</t>
  </si>
  <si>
    <t>%PR:</t>
  </si>
  <si>
    <t>Vol. of Mold</t>
  </si>
  <si>
    <t>Orig. Mass (Wt.) of Sand</t>
  </si>
  <si>
    <t>Final Mass (Wt.) of Sand</t>
  </si>
  <si>
    <t>Mass (Wt.) of Sand in Cone (SD - SE)</t>
  </si>
  <si>
    <t>Unit Mass (Wt.) of Sand (SA / SB)</t>
  </si>
  <si>
    <t>Mass (Wt.) of Sand in Cone &amp; Hole (SG - SH)</t>
  </si>
  <si>
    <t>Mass (Wt.) of Sand in Hole (SI - SF)</t>
  </si>
  <si>
    <t>Vol. of Hole (SJ / SC)</t>
  </si>
  <si>
    <t>Dry Mass (Wt.) of Material</t>
  </si>
  <si>
    <t>Dry Density (SW / SV)</t>
  </si>
  <si>
    <t>Maximum Dry Dens. (TR 415 / TR 418)</t>
  </si>
  <si>
    <t>% Density (Sand) (SSD / PR) x 100</t>
  </si>
  <si>
    <t>NUCLEAR METHOD (TR 401)</t>
  </si>
  <si>
    <t>Nuclear Device Number</t>
  </si>
  <si>
    <t>Insp. (Nuclear Badge No.)</t>
  </si>
  <si>
    <t xml:space="preserve">Test 1
</t>
  </si>
  <si>
    <t xml:space="preserve">Test 2
</t>
  </si>
  <si>
    <t xml:space="preserve">Test 3
</t>
  </si>
  <si>
    <t>DS:</t>
  </si>
  <si>
    <t>Density Standard Count</t>
  </si>
  <si>
    <t>DC:</t>
  </si>
  <si>
    <t>DR:</t>
  </si>
  <si>
    <t>WD:</t>
  </si>
  <si>
    <t>MS:</t>
  </si>
  <si>
    <t>MC:</t>
  </si>
  <si>
    <t>MR:</t>
  </si>
  <si>
    <t>M:</t>
  </si>
  <si>
    <t>MP:</t>
  </si>
  <si>
    <t>NDD:</t>
  </si>
  <si>
    <t>%NPR:</t>
  </si>
  <si>
    <t>ADD:</t>
  </si>
  <si>
    <t>Density Test Count</t>
  </si>
  <si>
    <t>Density Count Ratio (DC / DS)</t>
  </si>
  <si>
    <t>Wet Density</t>
  </si>
  <si>
    <t>Moisture Standard Count</t>
  </si>
  <si>
    <t>Moisture Test Count</t>
  </si>
  <si>
    <t>Moisture Count Ratio (MC / MS)</t>
  </si>
  <si>
    <t>Moisture by Mass (Wt.)</t>
  </si>
  <si>
    <t>Moisture by Percent - TR 401 / TR 403</t>
  </si>
  <si>
    <t>% Density (NDD / PR) x 100</t>
  </si>
  <si>
    <t>Average Dry Density (NDD) or (NDD/3)</t>
  </si>
  <si>
    <t>Maximum Dry Density (TR 415 / TR 418)</t>
  </si>
  <si>
    <t>% Dens. (Nuclear) ( % NPR) or (% NPR/3)</t>
  </si>
  <si>
    <t>Remarks</t>
  </si>
  <si>
    <t>(Signature)</t>
  </si>
  <si>
    <t>y^2</t>
  </si>
  <si>
    <t>Dry</t>
  </si>
  <si>
    <t>As is</t>
  </si>
  <si>
    <t>Wet</t>
  </si>
  <si>
    <t>Mc zero at DD</t>
  </si>
  <si>
    <t>Shift to parallel</t>
  </si>
  <si>
    <t>Dry side</t>
  </si>
  <si>
    <t>Wet Side</t>
  </si>
  <si>
    <t>DD = Dry density</t>
  </si>
  <si>
    <t>Gs = 2.7</t>
  </si>
  <si>
    <t>x^1</t>
  </si>
  <si>
    <t>x^0</t>
  </si>
  <si>
    <t>y^1</t>
  </si>
  <si>
    <t>y^0</t>
  </si>
  <si>
    <t>Quad Eq.</t>
  </si>
  <si>
    <t>Opt Mc</t>
  </si>
  <si>
    <t xml:space="preserve">Dry </t>
  </si>
  <si>
    <t>Count</t>
  </si>
  <si>
    <t>x^10</t>
  </si>
  <si>
    <t>x^9</t>
  </si>
  <si>
    <t>x^8</t>
  </si>
  <si>
    <t>x^7</t>
  </si>
  <si>
    <t>x^6</t>
  </si>
  <si>
    <t>x^5</t>
  </si>
  <si>
    <t>x^4</t>
  </si>
  <si>
    <t>x^3</t>
  </si>
  <si>
    <t>x^2</t>
  </si>
  <si>
    <r>
      <t>Dry Density (WD - M) or</t>
    </r>
    <r>
      <rPr>
        <sz val="7"/>
        <rFont val="Arial"/>
        <family val="2"/>
      </rPr>
      <t xml:space="preserve"> (100WD)/(100+MP)</t>
    </r>
  </si>
  <si>
    <r>
      <t>Pulverization, P</t>
    </r>
    <r>
      <rPr>
        <b/>
        <vertAlign val="sub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and P</t>
    </r>
    <r>
      <rPr>
        <b/>
        <vertAlign val="sub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(TR 431)</t>
    </r>
  </si>
  <si>
    <t>Test No.</t>
  </si>
  <si>
    <t>Utilize as many columns as
necessary per test section</t>
  </si>
  <si>
    <t>Adjusted Wet Mass (Wt) Sample (A)</t>
  </si>
  <si>
    <r>
      <t>Mass (Wt) of + 19 mm (3/4 in) Material (B</t>
    </r>
    <r>
      <rPr>
        <vertAlign val="subscript"/>
        <sz val="8"/>
        <rFont val="Arial"/>
        <family val="2"/>
      </rPr>
      <t>1</t>
    </r>
    <r>
      <rPr>
        <sz val="8"/>
        <rFont val="Arial"/>
        <family val="2"/>
      </rPr>
      <t>)</t>
    </r>
  </si>
  <si>
    <r>
      <t>Mass (Wt) of + 4.75 mm (No. 4) Material (B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)</t>
    </r>
  </si>
  <si>
    <r>
      <t>% Pulverization 4.75 mm (No. 4) (P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)</t>
    </r>
  </si>
  <si>
    <r>
      <t>% Pulverization 19 mm (3/4 in) (P</t>
    </r>
    <r>
      <rPr>
        <vertAlign val="subscript"/>
        <sz val="8"/>
        <rFont val="Arial"/>
        <family val="2"/>
      </rPr>
      <t>1</t>
    </r>
    <r>
      <rPr>
        <sz val="8"/>
        <rFont val="Arial"/>
        <family val="2"/>
      </rPr>
      <t>)</t>
    </r>
  </si>
  <si>
    <t>Field Moisture Content at Compaction, % FM (TR 403)</t>
  </si>
  <si>
    <t>Total Wet Mass (Wt) of Matl. at Compaction (A)</t>
  </si>
  <si>
    <t>Total Dry Mass (Wt) of Matl. at Compaction (B)</t>
  </si>
  <si>
    <t xml:space="preserve">Mass (Wt) of Water (C) </t>
  </si>
  <si>
    <t>% Field Moisture Content (% FM)</t>
  </si>
  <si>
    <t>(A - B)</t>
  </si>
  <si>
    <t>Optimum Moisture and Maximum Dry Density Adjustments
for Material Containing 20% - 60% Siliceous Aggregate
(TR 415)</t>
  </si>
  <si>
    <t>Optimum % Moist. Of Tot. Material, (OM)</t>
  </si>
  <si>
    <t>Maximum Dry Density, lb/ft3 (PR) 
                                    (English)</t>
  </si>
  <si>
    <t>Maximum Dry Density, kg/m3 (PR) 
                                    (Metric)</t>
  </si>
  <si>
    <t>% Pulverization 4.75mm (NO.4 SIEVE) (TR 431) (see back for calculations)</t>
  </si>
  <si>
    <t>SMM ID#</t>
  </si>
  <si>
    <t>Matrl Cd</t>
  </si>
  <si>
    <t>Spec Cd</t>
  </si>
  <si>
    <t>Parish</t>
  </si>
  <si>
    <t>SMM ID #</t>
  </si>
  <si>
    <t>(f x 30)</t>
  </si>
  <si>
    <t>Decant Loss</t>
  </si>
  <si>
    <t>Dry Mass (Wt) After Wash</t>
  </si>
  <si>
    <t>(1 = TR 415A  2 = TR 415B)</t>
  </si>
  <si>
    <t>Remarks 2 (Alt+Enter for new line)</t>
  </si>
  <si>
    <t>CURVE POINT NO.</t>
  </si>
  <si>
    <t>WATER ADDED, mL</t>
  </si>
  <si>
    <t>WT. MOLD, BASE (if appl.) &amp; WET MATL., lb</t>
  </si>
  <si>
    <t>WT. MOLD &amp; BASE (if appl.), lb</t>
  </si>
  <si>
    <t>WT. WET COMPACTED MATERIAL, lb</t>
  </si>
  <si>
    <r>
      <t>WET DENSITY, lb/ft</t>
    </r>
    <r>
      <rPr>
        <vertAlign val="superscript"/>
        <sz val="10"/>
        <rFont val="Arial"/>
        <family val="2"/>
      </rPr>
      <t>3</t>
    </r>
  </si>
  <si>
    <t>MOISTURE CONTENT, %</t>
  </si>
  <si>
    <r>
      <t>DRY DENSITY, lb/ft</t>
    </r>
    <r>
      <rPr>
        <vertAlign val="superscript"/>
        <sz val="10"/>
        <rFont val="Arial"/>
        <family val="2"/>
      </rPr>
      <t>3</t>
    </r>
  </si>
  <si>
    <t>LOUISIANA DEPARTMENT OF TRANSPORTATION AND DEVELOPMENT</t>
  </si>
  <si>
    <t>LABORATORY MOISTURE - DENSITY RELATIONSHIP</t>
  </si>
  <si>
    <t>(English)</t>
  </si>
  <si>
    <t>SELECT TR 418 METHOD</t>
  </si>
  <si>
    <t>*FOR USE WITH DOTD TR 418, METHOD B, D, F, I</t>
  </si>
  <si>
    <t>FOR USE WITH DOTD TR 418, METHOD C, D</t>
  </si>
  <si>
    <t>FOR USE WITH DOTD TR 418, METHOD E,F,G</t>
  </si>
  <si>
    <t>Wt. 
Retained,
lb</t>
  </si>
  <si>
    <t>+1"
Replacement
B0 / (1-(A/C))</t>
  </si>
  <si>
    <t>Prorated
Wt. Ret., lb
(F)</t>
  </si>
  <si>
    <t>% Retained
(F/E) x 100
(G)</t>
  </si>
  <si>
    <t>Accumulated
Wt.
lb</t>
  </si>
  <si>
    <t>A &amp; B</t>
  </si>
  <si>
    <t>English</t>
  </si>
  <si>
    <t>4/98</t>
  </si>
  <si>
    <t xml:space="preserve">DOTD TR 418 - METHOD - </t>
  </si>
  <si>
    <t>LAB NO:</t>
  </si>
  <si>
    <t>SAMPLE NO:</t>
  </si>
  <si>
    <t>TYPE SOIL:</t>
  </si>
  <si>
    <t>CHECKED BY:</t>
  </si>
  <si>
    <t>TYPE ADDITIVE:</t>
  </si>
  <si>
    <t>TESTED BY:</t>
  </si>
  <si>
    <t>PROJECT NO:</t>
  </si>
  <si>
    <t>TR 418-A</t>
  </si>
  <si>
    <t>TR 432-A</t>
  </si>
  <si>
    <t>----------</t>
  </si>
  <si>
    <t>---------------------------------------------</t>
  </si>
  <si>
    <t>***</t>
  </si>
  <si>
    <t>See Calculations</t>
  </si>
  <si>
    <t>(WW/DW) x 100</t>
  </si>
  <si>
    <t>WWD/(100 + MC) x 100</t>
  </si>
  <si>
    <t>count non-zero</t>
  </si>
  <si>
    <t>% diff</t>
  </si>
  <si>
    <t>raw</t>
  </si>
  <si>
    <t>ordered</t>
  </si>
  <si>
    <t>linest WWD dry</t>
  </si>
  <si>
    <t>linest WWD wet</t>
  </si>
  <si>
    <t>WWD dry</t>
  </si>
  <si>
    <t>WWD wet</t>
  </si>
  <si>
    <t>DWD dry</t>
  </si>
  <si>
    <t>DWD wet</t>
  </si>
  <si>
    <t>CM</t>
  </si>
  <si>
    <t>x</t>
  </si>
  <si>
    <t>WWD dry slope</t>
  </si>
  <si>
    <t>DWD dry slope</t>
  </si>
  <si>
    <t>Intersect</t>
  </si>
  <si>
    <t>WWD comb</t>
  </si>
  <si>
    <t>linest WWD comb</t>
  </si>
  <si>
    <t>WWD fit</t>
  </si>
  <si>
    <t>first non-zero</t>
  </si>
  <si>
    <t>WWD combfit</t>
  </si>
  <si>
    <t>Max</t>
  </si>
  <si>
    <t>linest DWD dry</t>
  </si>
  <si>
    <t>linest DWD wet</t>
  </si>
  <si>
    <t>linest DWD comb</t>
  </si>
  <si>
    <t>DWD comb</t>
  </si>
  <si>
    <t>DWD fit</t>
  </si>
  <si>
    <t>DWD combfit</t>
  </si>
  <si>
    <t>Method</t>
  </si>
  <si>
    <t>Combined</t>
  </si>
  <si>
    <t>mc</t>
  </si>
  <si>
    <t>combined</t>
  </si>
  <si>
    <t>fitted</t>
  </si>
  <si>
    <t>start plot</t>
  </si>
  <si>
    <t>plot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</si>
</sst>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0.0"/>
    <numFmt numFmtId="165" formatCode="0.0000"/>
    <numFmt numFmtId="166" formatCode="[$-409]h:mm\ AM/PM;@"/>
    <numFmt numFmtId="167" formatCode="0.000"/>
  </numFmts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vertAlign val="superscript"/>
      <sz val="8"/>
      <name val="Arial"/>
      <family val="2"/>
    </font>
    <font>
      <u/>
      <sz val="10"/>
      <name val="Arial"/>
      <family val="2"/>
    </font>
    <font>
      <sz val="8"/>
      <color indexed="9"/>
      <name val="Arial"/>
      <family val="2"/>
    </font>
    <font>
      <sz val="6"/>
      <color indexed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8"/>
      <name val="Calibri"/>
      <family val="2"/>
    </font>
    <font>
      <b/>
      <u/>
      <sz val="8"/>
      <name val="Arial"/>
      <family val="2"/>
    </font>
    <font>
      <b/>
      <u/>
      <sz val="8"/>
      <name val="Calibri"/>
      <family val="2"/>
    </font>
    <font>
      <sz val="7"/>
      <name val="Arial"/>
      <family val="2"/>
    </font>
    <font>
      <vertAlign val="subscript"/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vertAlign val="subscript"/>
      <sz val="11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 applyAlignment="1"/>
    <xf numFmtId="0" fontId="2" fillId="0" borderId="0" xfId="0" applyFont="1" applyBorder="1" applyAlignment="1"/>
    <xf numFmtId="0" fontId="2" fillId="0" borderId="2" xfId="0" applyFont="1" applyBorder="1" applyAlignme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7" xfId="0" applyFont="1" applyBorder="1" applyAlignment="1"/>
    <xf numFmtId="0" fontId="2" fillId="0" borderId="12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/>
    <xf numFmtId="0" fontId="2" fillId="0" borderId="8" xfId="0" applyFont="1" applyBorder="1" applyAlignment="1"/>
    <xf numFmtId="0" fontId="3" fillId="0" borderId="0" xfId="0" applyFont="1" applyBorder="1" applyAlignment="1"/>
    <xf numFmtId="0" fontId="3" fillId="0" borderId="0" xfId="0" applyFont="1" applyBorder="1"/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0" xfId="0" applyFont="1" applyFill="1" applyBorder="1" applyAlignment="1"/>
    <xf numFmtId="0" fontId="0" fillId="0" borderId="0" xfId="0" applyAlignment="1">
      <alignment horizontal="center"/>
    </xf>
    <xf numFmtId="0" fontId="0" fillId="0" borderId="2" xfId="0" applyBorder="1"/>
    <xf numFmtId="0" fontId="0" fillId="0" borderId="12" xfId="0" applyBorder="1"/>
    <xf numFmtId="0" fontId="0" fillId="0" borderId="8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7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9" fillId="0" borderId="0" xfId="0" applyFont="1"/>
    <xf numFmtId="0" fontId="10" fillId="0" borderId="0" xfId="0" applyFont="1" applyBorder="1"/>
    <xf numFmtId="2" fontId="9" fillId="0" borderId="0" xfId="0" applyNumberFormat="1" applyFont="1"/>
    <xf numFmtId="2" fontId="10" fillId="0" borderId="0" xfId="0" applyNumberFormat="1" applyFont="1" applyBorder="1"/>
    <xf numFmtId="0" fontId="4" fillId="0" borderId="0" xfId="0" applyFont="1" applyAlignment="1" applyProtection="1">
      <alignment horizontal="left"/>
    </xf>
    <xf numFmtId="0" fontId="2" fillId="0" borderId="0" xfId="0" applyFont="1" applyProtection="1"/>
    <xf numFmtId="0" fontId="5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2" fillId="0" borderId="1" xfId="0" applyFont="1" applyBorder="1" applyProtection="1"/>
    <xf numFmtId="0" fontId="2" fillId="0" borderId="0" xfId="0" applyFont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20" xfId="0" applyFont="1" applyBorder="1" applyProtection="1"/>
    <xf numFmtId="0" fontId="2" fillId="0" borderId="1" xfId="0" applyFont="1" applyBorder="1" applyAlignment="1" applyProtection="1">
      <alignment horizontal="left"/>
    </xf>
    <xf numFmtId="0" fontId="4" fillId="0" borderId="0" xfId="0" applyFont="1" applyAlignment="1" applyProtection="1"/>
    <xf numFmtId="0" fontId="4" fillId="0" borderId="0" xfId="0" applyFont="1" applyBorder="1" applyAlignment="1" applyProtection="1"/>
    <xf numFmtId="0" fontId="2" fillId="0" borderId="21" xfId="0" applyFont="1" applyBorder="1" applyProtection="1"/>
    <xf numFmtId="0" fontId="2" fillId="0" borderId="22" xfId="0" applyFont="1" applyBorder="1" applyProtection="1"/>
    <xf numFmtId="0" fontId="2" fillId="0" borderId="1" xfId="0" applyFont="1" applyBorder="1" applyAlignment="1" applyProtection="1"/>
    <xf numFmtId="0" fontId="4" fillId="0" borderId="0" xfId="0" applyFont="1" applyBorder="1" applyAlignment="1" applyProtection="1">
      <alignment horizontal="left"/>
    </xf>
    <xf numFmtId="0" fontId="4" fillId="0" borderId="23" xfId="0" applyFont="1" applyBorder="1" applyAlignment="1" applyProtection="1"/>
    <xf numFmtId="0" fontId="2" fillId="0" borderId="2" xfId="0" applyFont="1" applyBorder="1" applyProtection="1"/>
    <xf numFmtId="0" fontId="11" fillId="0" borderId="1" xfId="0" applyFont="1" applyBorder="1" applyProtection="1"/>
    <xf numFmtId="0" fontId="4" fillId="0" borderId="19" xfId="0" applyFont="1" applyBorder="1" applyAlignment="1" applyProtection="1"/>
    <xf numFmtId="0" fontId="2" fillId="0" borderId="23" xfId="0" applyFont="1" applyBorder="1" applyProtection="1"/>
    <xf numFmtId="0" fontId="11" fillId="0" borderId="19" xfId="0" applyFont="1" applyBorder="1" applyAlignment="1" applyProtection="1"/>
    <xf numFmtId="0" fontId="11" fillId="0" borderId="23" xfId="0" applyFont="1" applyBorder="1" applyAlignment="1" applyProtection="1"/>
    <xf numFmtId="0" fontId="11" fillId="0" borderId="24" xfId="0" applyFont="1" applyBorder="1" applyAlignment="1" applyProtection="1"/>
    <xf numFmtId="0" fontId="11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/>
    <xf numFmtId="0" fontId="11" fillId="0" borderId="21" xfId="0" applyFont="1" applyBorder="1" applyAlignment="1" applyProtection="1"/>
    <xf numFmtId="0" fontId="11" fillId="0" borderId="2" xfId="0" applyFont="1" applyBorder="1" applyAlignment="1" applyProtection="1"/>
    <xf numFmtId="0" fontId="11" fillId="0" borderId="1" xfId="0" applyFont="1" applyBorder="1" applyAlignment="1" applyProtection="1"/>
    <xf numFmtId="0" fontId="11" fillId="0" borderId="21" xfId="0" applyFont="1" applyBorder="1" applyProtection="1"/>
    <xf numFmtId="0" fontId="4" fillId="0" borderId="3" xfId="0" applyFont="1" applyBorder="1" applyAlignment="1" applyProtection="1"/>
    <xf numFmtId="0" fontId="4" fillId="0" borderId="2" xfId="0" applyFont="1" applyBorder="1" applyAlignment="1" applyProtection="1"/>
    <xf numFmtId="0" fontId="11" fillId="0" borderId="3" xfId="0" applyFont="1" applyBorder="1" applyAlignment="1" applyProtection="1"/>
    <xf numFmtId="0" fontId="11" fillId="0" borderId="2" xfId="0" applyFont="1" applyBorder="1" applyProtection="1"/>
    <xf numFmtId="0" fontId="11" fillId="0" borderId="25" xfId="0" applyFont="1" applyBorder="1" applyProtection="1"/>
    <xf numFmtId="2" fontId="11" fillId="0" borderId="24" xfId="0" applyNumberFormat="1" applyFont="1" applyBorder="1" applyAlignment="1" applyProtection="1"/>
    <xf numFmtId="2" fontId="11" fillId="0" borderId="23" xfId="0" applyNumberFormat="1" applyFont="1" applyBorder="1" applyAlignment="1" applyProtection="1"/>
    <xf numFmtId="0" fontId="11" fillId="0" borderId="24" xfId="0" applyFont="1" applyBorder="1" applyAlignment="1" applyProtection="1">
      <alignment horizontal="left"/>
    </xf>
    <xf numFmtId="2" fontId="11" fillId="0" borderId="21" xfId="0" applyNumberFormat="1" applyFont="1" applyBorder="1" applyAlignment="1" applyProtection="1"/>
    <xf numFmtId="2" fontId="11" fillId="0" borderId="0" xfId="0" applyNumberFormat="1" applyFont="1" applyBorder="1" applyAlignment="1" applyProtection="1"/>
    <xf numFmtId="0" fontId="11" fillId="0" borderId="21" xfId="0" applyFont="1" applyBorder="1" applyAlignment="1" applyProtection="1">
      <alignment horizontal="left"/>
    </xf>
    <xf numFmtId="2" fontId="11" fillId="0" borderId="1" xfId="0" applyNumberFormat="1" applyFont="1" applyBorder="1" applyAlignment="1" applyProtection="1"/>
    <xf numFmtId="2" fontId="11" fillId="0" borderId="2" xfId="0" applyNumberFormat="1" applyFont="1" applyBorder="1" applyAlignment="1" applyProtection="1"/>
    <xf numFmtId="2" fontId="11" fillId="0" borderId="25" xfId="0" applyNumberFormat="1" applyFont="1" applyBorder="1" applyAlignment="1" applyProtection="1"/>
    <xf numFmtId="0" fontId="11" fillId="0" borderId="2" xfId="0" applyFont="1" applyBorder="1" applyAlignment="1" applyProtection="1">
      <alignment horizontal="left"/>
    </xf>
    <xf numFmtId="0" fontId="11" fillId="0" borderId="25" xfId="0" applyFont="1" applyBorder="1" applyAlignment="1" applyProtection="1">
      <alignment horizontal="left"/>
    </xf>
    <xf numFmtId="164" fontId="11" fillId="0" borderId="0" xfId="0" applyNumberFormat="1" applyFont="1" applyBorder="1" applyAlignment="1" applyProtection="1"/>
    <xf numFmtId="0" fontId="11" fillId="0" borderId="0" xfId="0" applyFont="1" applyBorder="1" applyProtection="1"/>
    <xf numFmtId="164" fontId="11" fillId="0" borderId="4" xfId="0" applyNumberFormat="1" applyFont="1" applyBorder="1" applyAlignment="1" applyProtection="1"/>
    <xf numFmtId="0" fontId="11" fillId="0" borderId="5" xfId="0" applyFont="1" applyBorder="1" applyAlignment="1" applyProtection="1"/>
    <xf numFmtId="2" fontId="11" fillId="0" borderId="5" xfId="0" applyNumberFormat="1" applyFont="1" applyBorder="1" applyAlignment="1" applyProtection="1"/>
    <xf numFmtId="2" fontId="11" fillId="0" borderId="6" xfId="0" applyNumberFormat="1" applyFont="1" applyBorder="1" applyAlignment="1" applyProtection="1"/>
    <xf numFmtId="164" fontId="11" fillId="0" borderId="7" xfId="0" applyNumberFormat="1" applyFont="1" applyBorder="1" applyAlignment="1" applyProtection="1"/>
    <xf numFmtId="0" fontId="14" fillId="0" borderId="0" xfId="0" applyFont="1" applyBorder="1" applyAlignment="1" applyProtection="1">
      <alignment horizontal="left"/>
    </xf>
    <xf numFmtId="2" fontId="11" fillId="0" borderId="8" xfId="0" applyNumberFormat="1" applyFont="1" applyBorder="1" applyAlignment="1" applyProtection="1"/>
    <xf numFmtId="0" fontId="11" fillId="0" borderId="8" xfId="0" applyFont="1" applyBorder="1" applyProtection="1"/>
    <xf numFmtId="0" fontId="11" fillId="0" borderId="8" xfId="0" applyFont="1" applyBorder="1" applyAlignment="1" applyProtection="1"/>
    <xf numFmtId="0" fontId="21" fillId="0" borderId="8" xfId="0" applyFont="1" applyBorder="1" applyProtection="1"/>
    <xf numFmtId="164" fontId="11" fillId="0" borderId="1" xfId="0" applyNumberFormat="1" applyFont="1" applyBorder="1" applyAlignment="1" applyProtection="1"/>
    <xf numFmtId="2" fontId="11" fillId="0" borderId="7" xfId="0" applyNumberFormat="1" applyFont="1" applyBorder="1" applyAlignment="1" applyProtection="1"/>
    <xf numFmtId="0" fontId="2" fillId="0" borderId="8" xfId="0" applyFont="1" applyBorder="1" applyProtection="1"/>
    <xf numFmtId="0" fontId="2" fillId="0" borderId="7" xfId="0" applyFont="1" applyBorder="1" applyProtection="1"/>
    <xf numFmtId="0" fontId="11" fillId="0" borderId="7" xfId="0" applyFont="1" applyBorder="1" applyAlignment="1" applyProtection="1"/>
    <xf numFmtId="0" fontId="11" fillId="0" borderId="0" xfId="0" applyFont="1" applyProtection="1"/>
    <xf numFmtId="164" fontId="11" fillId="0" borderId="0" xfId="0" applyNumberFormat="1" applyFont="1" applyBorder="1" applyProtection="1"/>
    <xf numFmtId="164" fontId="2" fillId="0" borderId="0" xfId="0" applyNumberFormat="1" applyFont="1" applyBorder="1" applyProtection="1"/>
    <xf numFmtId="0" fontId="2" fillId="0" borderId="0" xfId="0" applyNumberFormat="1" applyFont="1" applyProtection="1"/>
    <xf numFmtId="0" fontId="2" fillId="0" borderId="8" xfId="0" applyFont="1" applyBorder="1" applyAlignment="1" applyProtection="1"/>
    <xf numFmtId="0" fontId="2" fillId="0" borderId="0" xfId="0" applyFont="1" applyBorder="1" applyAlignment="1" applyProtection="1">
      <alignment vertical="center"/>
    </xf>
    <xf numFmtId="0" fontId="10" fillId="0" borderId="0" xfId="0" applyFont="1" applyBorder="1" applyProtection="1"/>
    <xf numFmtId="0" fontId="2" fillId="0" borderId="9" xfId="0" applyFont="1" applyBorder="1" applyProtection="1"/>
    <xf numFmtId="0" fontId="2" fillId="0" borderId="10" xfId="0" applyFont="1" applyBorder="1" applyProtection="1"/>
    <xf numFmtId="2" fontId="2" fillId="0" borderId="10" xfId="0" applyNumberFormat="1" applyFont="1" applyBorder="1" applyAlignment="1" applyProtection="1">
      <alignment vertical="center"/>
    </xf>
    <xf numFmtId="0" fontId="10" fillId="0" borderId="10" xfId="0" applyFont="1" applyBorder="1" applyProtection="1"/>
    <xf numFmtId="0" fontId="2" fillId="0" borderId="10" xfId="0" applyFont="1" applyBorder="1" applyAlignment="1" applyProtection="1"/>
    <xf numFmtId="0" fontId="2" fillId="0" borderId="11" xfId="0" applyFont="1" applyBorder="1" applyAlignment="1" applyProtection="1"/>
    <xf numFmtId="0" fontId="2" fillId="0" borderId="9" xfId="0" applyFont="1" applyBorder="1" applyAlignment="1" applyProtection="1"/>
    <xf numFmtId="164" fontId="2" fillId="0" borderId="10" xfId="0" applyNumberFormat="1" applyFont="1" applyBorder="1" applyAlignment="1" applyProtection="1"/>
    <xf numFmtId="0" fontId="2" fillId="0" borderId="11" xfId="0" applyFont="1" applyBorder="1" applyProtection="1"/>
    <xf numFmtId="0" fontId="2" fillId="0" borderId="5" xfId="0" applyFont="1" applyBorder="1" applyAlignment="1" applyProtection="1"/>
    <xf numFmtId="0" fontId="2" fillId="0" borderId="5" xfId="0" applyFont="1" applyBorder="1" applyProtection="1"/>
    <xf numFmtId="164" fontId="2" fillId="0" borderId="5" xfId="0" applyNumberFormat="1" applyFont="1" applyBorder="1" applyAlignment="1" applyProtection="1"/>
    <xf numFmtId="0" fontId="2" fillId="0" borderId="6" xfId="0" applyFont="1" applyBorder="1" applyProtection="1"/>
    <xf numFmtId="0" fontId="11" fillId="0" borderId="9" xfId="0" applyFont="1" applyBorder="1" applyAlignment="1" applyProtection="1"/>
    <xf numFmtId="2" fontId="11" fillId="0" borderId="11" xfId="0" applyNumberFormat="1" applyFont="1" applyBorder="1" applyAlignment="1" applyProtection="1"/>
    <xf numFmtId="164" fontId="2" fillId="0" borderId="0" xfId="0" applyNumberFormat="1" applyFont="1" applyBorder="1" applyAlignment="1" applyProtection="1"/>
    <xf numFmtId="0" fontId="2" fillId="0" borderId="4" xfId="0" applyFont="1" applyBorder="1" applyProtection="1"/>
    <xf numFmtId="2" fontId="2" fillId="0" borderId="0" xfId="0" applyNumberFormat="1" applyFont="1" applyBorder="1" applyAlignment="1" applyProtection="1"/>
    <xf numFmtId="2" fontId="2" fillId="0" borderId="7" xfId="0" applyNumberFormat="1" applyFont="1" applyBorder="1" applyAlignment="1" applyProtection="1"/>
    <xf numFmtId="2" fontId="2" fillId="0" borderId="8" xfId="0" applyNumberFormat="1" applyFont="1" applyBorder="1" applyAlignment="1" applyProtection="1">
      <alignment vertical="center"/>
    </xf>
    <xf numFmtId="0" fontId="2" fillId="0" borderId="7" xfId="0" applyNumberFormat="1" applyFont="1" applyBorder="1" applyAlignment="1" applyProtection="1"/>
    <xf numFmtId="0" fontId="2" fillId="0" borderId="0" xfId="0" applyFont="1" applyBorder="1" applyAlignment="1" applyProtection="1">
      <alignment vertical="center" wrapText="1"/>
    </xf>
    <xf numFmtId="2" fontId="2" fillId="0" borderId="0" xfId="0" applyNumberFormat="1" applyFont="1" applyBorder="1" applyAlignment="1" applyProtection="1">
      <alignment vertical="center"/>
    </xf>
    <xf numFmtId="2" fontId="11" fillId="0" borderId="20" xfId="0" applyNumberFormat="1" applyFont="1" applyBorder="1" applyAlignment="1" applyProtection="1"/>
    <xf numFmtId="0" fontId="2" fillId="0" borderId="7" xfId="0" applyFont="1" applyBorder="1" applyAlignment="1" applyProtection="1"/>
    <xf numFmtId="2" fontId="2" fillId="0" borderId="7" xfId="0" applyNumberFormat="1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 wrapText="1"/>
    </xf>
    <xf numFmtId="164" fontId="2" fillId="0" borderId="0" xfId="0" applyNumberFormat="1" applyFont="1" applyBorder="1" applyAlignment="1" applyProtection="1">
      <alignment vertical="center"/>
    </xf>
    <xf numFmtId="0" fontId="3" fillId="0" borderId="7" xfId="0" applyFont="1" applyBorder="1" applyAlignment="1" applyProtection="1"/>
    <xf numFmtId="0" fontId="2" fillId="0" borderId="8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vertical="center" wrapText="1"/>
    </xf>
    <xf numFmtId="0" fontId="3" fillId="0" borderId="10" xfId="0" applyFont="1" applyBorder="1" applyProtection="1"/>
    <xf numFmtId="0" fontId="2" fillId="0" borderId="26" xfId="0" applyFont="1" applyBorder="1" applyProtection="1"/>
    <xf numFmtId="0" fontId="2" fillId="0" borderId="27" xfId="0" applyFont="1" applyBorder="1" applyProtection="1"/>
    <xf numFmtId="0" fontId="2" fillId="0" borderId="27" xfId="0" applyFont="1" applyBorder="1" applyAlignment="1" applyProtection="1"/>
    <xf numFmtId="0" fontId="2" fillId="0" borderId="28" xfId="0" applyFont="1" applyBorder="1" applyProtection="1"/>
    <xf numFmtId="0" fontId="2" fillId="0" borderId="29" xfId="0" applyFont="1" applyBorder="1" applyProtection="1"/>
    <xf numFmtId="0" fontId="2" fillId="0" borderId="30" xfId="0" applyFont="1" applyBorder="1" applyProtection="1"/>
    <xf numFmtId="0" fontId="2" fillId="0" borderId="30" xfId="0" applyFont="1" applyBorder="1" applyAlignment="1" applyProtection="1"/>
    <xf numFmtId="0" fontId="2" fillId="0" borderId="31" xfId="0" applyFont="1" applyBorder="1" applyProtection="1"/>
    <xf numFmtId="0" fontId="2" fillId="0" borderId="32" xfId="0" applyFont="1" applyBorder="1" applyProtection="1"/>
    <xf numFmtId="0" fontId="2" fillId="0" borderId="33" xfId="0" applyFont="1" applyBorder="1" applyProtection="1"/>
    <xf numFmtId="0" fontId="2" fillId="0" borderId="30" xfId="0" applyFont="1" applyBorder="1" applyAlignment="1" applyProtection="1">
      <alignment horizontal="left"/>
    </xf>
    <xf numFmtId="0" fontId="2" fillId="0" borderId="29" xfId="0" applyFont="1" applyBorder="1" applyAlignment="1" applyProtection="1"/>
    <xf numFmtId="0" fontId="2" fillId="0" borderId="2" xfId="0" applyFont="1" applyBorder="1" applyAlignment="1" applyProtection="1"/>
    <xf numFmtId="0" fontId="2" fillId="0" borderId="29" xfId="0" applyFont="1" applyBorder="1" applyAlignment="1" applyProtection="1">
      <alignment horizontal="center"/>
    </xf>
    <xf numFmtId="0" fontId="2" fillId="0" borderId="34" xfId="0" applyFont="1" applyBorder="1" applyProtection="1"/>
    <xf numFmtId="0" fontId="2" fillId="0" borderId="35" xfId="0" applyFont="1" applyBorder="1" applyAlignment="1" applyProtection="1"/>
    <xf numFmtId="0" fontId="2" fillId="0" borderId="21" xfId="0" applyFont="1" applyBorder="1" applyAlignment="1" applyProtection="1"/>
    <xf numFmtId="0" fontId="2" fillId="0" borderId="36" xfId="0" applyFont="1" applyBorder="1" applyAlignment="1" applyProtection="1"/>
    <xf numFmtId="0" fontId="2" fillId="0" borderId="25" xfId="0" applyFont="1" applyBorder="1" applyAlignment="1" applyProtection="1"/>
    <xf numFmtId="0" fontId="21" fillId="0" borderId="0" xfId="0" applyFont="1" applyFill="1" applyProtection="1"/>
    <xf numFmtId="0" fontId="21" fillId="0" borderId="0" xfId="0" applyFont="1" applyProtection="1"/>
    <xf numFmtId="0" fontId="11" fillId="0" borderId="7" xfId="0" applyFont="1" applyBorder="1" applyAlignment="1" applyProtection="1">
      <alignment horizontal="left"/>
    </xf>
    <xf numFmtId="0" fontId="0" fillId="0" borderId="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2" fillId="0" borderId="13" xfId="0" applyFont="1" applyBorder="1" applyProtection="1"/>
    <xf numFmtId="0" fontId="2" fillId="0" borderId="12" xfId="0" applyFont="1" applyBorder="1" applyProtection="1"/>
    <xf numFmtId="0" fontId="2" fillId="0" borderId="19" xfId="0" applyFont="1" applyBorder="1" applyAlignment="1" applyProtection="1"/>
    <xf numFmtId="0" fontId="2" fillId="0" borderId="37" xfId="0" applyFont="1" applyBorder="1" applyAlignment="1" applyProtection="1"/>
    <xf numFmtId="0" fontId="11" fillId="0" borderId="25" xfId="0" applyFont="1" applyBorder="1" applyAlignment="1" applyProtection="1"/>
    <xf numFmtId="0" fontId="2" fillId="0" borderId="38" xfId="0" applyFont="1" applyBorder="1" applyProtection="1"/>
    <xf numFmtId="0" fontId="2" fillId="0" borderId="3" xfId="0" applyFont="1" applyBorder="1" applyProtection="1"/>
    <xf numFmtId="0" fontId="2" fillId="0" borderId="39" xfId="0" applyNumberFormat="1" applyFont="1" applyBorder="1" applyProtection="1"/>
    <xf numFmtId="0" fontId="2" fillId="0" borderId="23" xfId="0" applyNumberFormat="1" applyFont="1" applyBorder="1" applyProtection="1"/>
    <xf numFmtId="0" fontId="2" fillId="0" borderId="37" xfId="0" applyNumberFormat="1" applyFont="1" applyBorder="1" applyProtection="1"/>
    <xf numFmtId="0" fontId="2" fillId="0" borderId="0" xfId="0" applyNumberFormat="1" applyFont="1" applyBorder="1" applyProtection="1"/>
    <xf numFmtId="0" fontId="2" fillId="0" borderId="8" xfId="0" applyNumberFormat="1" applyFont="1" applyBorder="1" applyProtection="1"/>
    <xf numFmtId="0" fontId="2" fillId="0" borderId="1" xfId="0" applyNumberFormat="1" applyFont="1" applyBorder="1" applyProtection="1"/>
    <xf numFmtId="0" fontId="2" fillId="0" borderId="9" xfId="0" applyNumberFormat="1" applyFont="1" applyBorder="1" applyProtection="1"/>
    <xf numFmtId="0" fontId="2" fillId="0" borderId="10" xfId="0" applyNumberFormat="1" applyFont="1" applyBorder="1" applyProtection="1"/>
    <xf numFmtId="0" fontId="2" fillId="0" borderId="11" xfId="0" applyNumberFormat="1" applyFont="1" applyBorder="1" applyProtection="1"/>
    <xf numFmtId="0" fontId="2" fillId="0" borderId="20" xfId="0" applyFont="1" applyBorder="1" applyAlignment="1" applyProtection="1"/>
    <xf numFmtId="0" fontId="2" fillId="0" borderId="18" xfId="0" applyFont="1" applyBorder="1" applyAlignment="1" applyProtection="1"/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8" fillId="0" borderId="0" xfId="0" quotePrefix="1" applyFont="1"/>
    <xf numFmtId="0" fontId="18" fillId="0" borderId="0" xfId="0" applyFont="1"/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2" fillId="0" borderId="0" xfId="0" applyFont="1" applyProtection="1"/>
    <xf numFmtId="0" fontId="12" fillId="4" borderId="0" xfId="0" applyFon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2" fillId="0" borderId="0" xfId="0" applyFont="1" applyAlignment="1" applyProtection="1">
      <alignment horizontal="right"/>
    </xf>
    <xf numFmtId="0" fontId="2" fillId="4" borderId="0" xfId="0" applyFont="1" applyFill="1" applyProtection="1"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/>
    <xf numFmtId="0" fontId="2" fillId="0" borderId="25" xfId="0" applyFont="1" applyBorder="1"/>
    <xf numFmtId="0" fontId="23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/>
    <xf numFmtId="0" fontId="0" fillId="0" borderId="71" xfId="0" applyBorder="1"/>
    <xf numFmtId="0" fontId="0" fillId="0" borderId="49" xfId="0" applyBorder="1"/>
    <xf numFmtId="0" fontId="0" fillId="0" borderId="54" xfId="0" applyBorder="1"/>
    <xf numFmtId="0" fontId="0" fillId="0" borderId="51" xfId="0" applyBorder="1"/>
    <xf numFmtId="0" fontId="0" fillId="6" borderId="49" xfId="0" applyFill="1" applyBorder="1"/>
    <xf numFmtId="0" fontId="0" fillId="6" borderId="54" xfId="0" applyFill="1" applyBorder="1"/>
    <xf numFmtId="0" fontId="18" fillId="0" borderId="74" xfId="0" applyFont="1" applyBorder="1" applyAlignment="1">
      <alignment horizontal="center"/>
    </xf>
    <xf numFmtId="0" fontId="18" fillId="0" borderId="48" xfId="0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0" fillId="0" borderId="23" xfId="0" applyBorder="1"/>
    <xf numFmtId="0" fontId="0" fillId="0" borderId="37" xfId="0" applyBorder="1"/>
    <xf numFmtId="0" fontId="18" fillId="0" borderId="75" xfId="0" applyFont="1" applyBorder="1" applyAlignment="1">
      <alignment horizontal="center"/>
    </xf>
    <xf numFmtId="0" fontId="0" fillId="0" borderId="16" xfId="0" applyBorder="1"/>
    <xf numFmtId="0" fontId="0" fillId="0" borderId="70" xfId="0" applyBorder="1"/>
    <xf numFmtId="0" fontId="0" fillId="6" borderId="16" xfId="0" applyFill="1" applyBorder="1"/>
    <xf numFmtId="0" fontId="0" fillId="6" borderId="70" xfId="0" applyFill="1" applyBorder="1"/>
    <xf numFmtId="0" fontId="0" fillId="6" borderId="75" xfId="0" applyFill="1" applyBorder="1"/>
    <xf numFmtId="0" fontId="0" fillId="0" borderId="75" xfId="0" applyBorder="1"/>
    <xf numFmtId="0" fontId="0" fillId="6" borderId="48" xfId="0" applyFill="1" applyBorder="1"/>
    <xf numFmtId="0" fontId="0" fillId="0" borderId="48" xfId="0" applyBorder="1"/>
    <xf numFmtId="0" fontId="0" fillId="0" borderId="50" xfId="0" applyBorder="1"/>
    <xf numFmtId="0" fontId="0" fillId="6" borderId="78" xfId="0" applyFill="1" applyBorder="1"/>
    <xf numFmtId="0" fontId="0" fillId="6" borderId="53" xfId="0" applyFill="1" applyBorder="1"/>
    <xf numFmtId="0" fontId="0" fillId="6" borderId="64" xfId="0" applyFill="1" applyBorder="1"/>
    <xf numFmtId="0" fontId="0" fillId="0" borderId="53" xfId="0" applyBorder="1"/>
    <xf numFmtId="0" fontId="0" fillId="0" borderId="64" xfId="0" applyBorder="1"/>
    <xf numFmtId="0" fontId="0" fillId="0" borderId="19" xfId="0" applyBorder="1"/>
    <xf numFmtId="0" fontId="0" fillId="0" borderId="24" xfId="0" applyBorder="1"/>
    <xf numFmtId="0" fontId="0" fillId="6" borderId="79" xfId="0" applyFill="1" applyBorder="1"/>
    <xf numFmtId="0" fontId="0" fillId="0" borderId="78" xfId="0" applyBorder="1"/>
    <xf numFmtId="0" fontId="0" fillId="0" borderId="79" xfId="0" applyBorder="1"/>
    <xf numFmtId="0" fontId="18" fillId="0" borderId="0" xfId="0" applyFont="1" applyAlignment="1"/>
    <xf numFmtId="17" fontId="18" fillId="0" borderId="0" xfId="0" quotePrefix="1" applyNumberFormat="1" applyFont="1"/>
    <xf numFmtId="0" fontId="18" fillId="0" borderId="4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4" xfId="0" applyFont="1" applyFill="1" applyBorder="1" applyAlignment="1">
      <alignment horizontal="center"/>
    </xf>
    <xf numFmtId="0" fontId="18" fillId="0" borderId="15" xfId="0" applyFont="1" applyFill="1" applyBorder="1" applyAlignment="1">
      <alignment horizontal="center"/>
    </xf>
    <xf numFmtId="0" fontId="18" fillId="0" borderId="64" xfId="0" applyFont="1" applyBorder="1"/>
    <xf numFmtId="0" fontId="18" fillId="0" borderId="0" xfId="0" applyFont="1" applyAlignment="1">
      <alignment horizontal="right"/>
    </xf>
    <xf numFmtId="0" fontId="5" fillId="0" borderId="0" xfId="0" applyFont="1"/>
    <xf numFmtId="164" fontId="2" fillId="0" borderId="0" xfId="0" applyNumberFormat="1" applyFont="1" applyProtection="1"/>
    <xf numFmtId="0" fontId="2" fillId="0" borderId="23" xfId="0" applyFont="1" applyBorder="1" applyAlignment="1"/>
    <xf numFmtId="0" fontId="26" fillId="0" borderId="0" xfId="0" applyFont="1"/>
    <xf numFmtId="0" fontId="21" fillId="0" borderId="0" xfId="0" quotePrefix="1" applyFont="1" applyProtection="1"/>
    <xf numFmtId="0" fontId="1" fillId="0" borderId="0" xfId="0" applyFont="1"/>
    <xf numFmtId="0" fontId="2" fillId="4" borderId="0" xfId="0" applyFont="1" applyFill="1" applyBorder="1" applyAlignment="1" applyProtection="1">
      <alignment horizontal="center"/>
      <protection locked="0"/>
    </xf>
    <xf numFmtId="0" fontId="4" fillId="4" borderId="0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/>
    </xf>
    <xf numFmtId="0" fontId="2" fillId="4" borderId="2" xfId="0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left"/>
    </xf>
    <xf numFmtId="0" fontId="2" fillId="4" borderId="23" xfId="0" applyFont="1" applyFill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left"/>
    </xf>
    <xf numFmtId="0" fontId="11" fillId="0" borderId="39" xfId="0" applyFont="1" applyBorder="1" applyAlignment="1" applyProtection="1">
      <alignment horizontal="left"/>
    </xf>
    <xf numFmtId="0" fontId="11" fillId="0" borderId="13" xfId="0" applyFont="1" applyBorder="1" applyAlignment="1" applyProtection="1">
      <alignment horizontal="left"/>
    </xf>
    <xf numFmtId="2" fontId="11" fillId="4" borderId="17" xfId="0" applyNumberFormat="1" applyFont="1" applyFill="1" applyBorder="1" applyAlignment="1" applyProtection="1">
      <alignment horizontal="center"/>
      <protection locked="0"/>
    </xf>
    <xf numFmtId="2" fontId="11" fillId="4" borderId="1" xfId="0" applyNumberFormat="1" applyFont="1" applyFill="1" applyBorder="1" applyAlignment="1" applyProtection="1">
      <alignment horizontal="center"/>
      <protection locked="0"/>
    </xf>
    <xf numFmtId="2" fontId="11" fillId="4" borderId="52" xfId="0" applyNumberFormat="1" applyFont="1" applyFill="1" applyBorder="1" applyAlignment="1" applyProtection="1">
      <alignment horizontal="center"/>
      <protection locked="0"/>
    </xf>
    <xf numFmtId="2" fontId="11" fillId="4" borderId="47" xfId="0" applyNumberFormat="1" applyFont="1" applyFill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1" fillId="0" borderId="2" xfId="0" applyFont="1" applyBorder="1" applyAlignment="1" applyProtection="1">
      <alignment horizontal="center"/>
    </xf>
    <xf numFmtId="0" fontId="11" fillId="0" borderId="23" xfId="0" applyFont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</xf>
    <xf numFmtId="0" fontId="11" fillId="0" borderId="7" xfId="0" applyNumberFormat="1" applyFont="1" applyBorder="1" applyAlignment="1" applyProtection="1">
      <alignment horizontal="left"/>
    </xf>
    <xf numFmtId="0" fontId="11" fillId="0" borderId="0" xfId="0" applyNumberFormat="1" applyFont="1" applyBorder="1" applyAlignment="1" applyProtection="1">
      <alignment horizontal="left"/>
    </xf>
    <xf numFmtId="0" fontId="2" fillId="4" borderId="0" xfId="0" applyNumberFormat="1" applyFont="1" applyFill="1" applyBorder="1" applyAlignment="1" applyProtection="1">
      <alignment horizontal="center"/>
      <protection locked="0"/>
    </xf>
    <xf numFmtId="0" fontId="2" fillId="4" borderId="2" xfId="0" applyNumberFormat="1" applyFont="1" applyFill="1" applyBorder="1" applyAlignment="1" applyProtection="1">
      <alignment horizontal="center"/>
      <protection locked="0"/>
    </xf>
    <xf numFmtId="0" fontId="19" fillId="0" borderId="4" xfId="0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center"/>
    </xf>
    <xf numFmtId="0" fontId="19" fillId="0" borderId="6" xfId="0" applyFont="1" applyBorder="1" applyAlignment="1" applyProtection="1">
      <alignment horizontal="center" vertical="center"/>
    </xf>
    <xf numFmtId="0" fontId="19" fillId="0" borderId="7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8" xfId="0" applyFont="1" applyBorder="1" applyAlignment="1" applyProtection="1">
      <alignment horizontal="center" vertical="center"/>
    </xf>
    <xf numFmtId="0" fontId="19" fillId="0" borderId="9" xfId="0" applyFont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47" xfId="0" applyFont="1" applyBorder="1" applyAlignment="1" applyProtection="1">
      <alignment horizontal="center"/>
    </xf>
    <xf numFmtId="0" fontId="2" fillId="0" borderId="4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left" wrapText="1"/>
    </xf>
    <xf numFmtId="0" fontId="11" fillId="0" borderId="21" xfId="0" applyFont="1" applyBorder="1" applyAlignment="1" applyProtection="1">
      <alignment horizontal="left" wrapText="1"/>
    </xf>
    <xf numFmtId="0" fontId="11" fillId="0" borderId="2" xfId="0" applyFont="1" applyBorder="1" applyAlignment="1" applyProtection="1">
      <alignment horizontal="left" wrapText="1"/>
    </xf>
    <xf numFmtId="0" fontId="11" fillId="0" borderId="25" xfId="0" applyFont="1" applyBorder="1" applyAlignment="1" applyProtection="1">
      <alignment horizontal="left" wrapText="1"/>
    </xf>
    <xf numFmtId="0" fontId="2" fillId="0" borderId="7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11" fillId="0" borderId="48" xfId="0" applyFont="1" applyBorder="1" applyAlignment="1" applyProtection="1">
      <alignment horizontal="left"/>
    </xf>
    <xf numFmtId="0" fontId="11" fillId="0" borderId="49" xfId="0" applyFont="1" applyBorder="1" applyAlignment="1" applyProtection="1">
      <alignment horizontal="left"/>
    </xf>
    <xf numFmtId="0" fontId="2" fillId="0" borderId="53" xfId="0" applyFont="1" applyBorder="1" applyAlignment="1" applyProtection="1">
      <alignment horizontal="center"/>
    </xf>
    <xf numFmtId="0" fontId="2" fillId="0" borderId="49" xfId="0" applyFont="1" applyBorder="1" applyAlignment="1" applyProtection="1">
      <alignment horizontal="center"/>
    </xf>
    <xf numFmtId="0" fontId="2" fillId="0" borderId="54" xfId="0" applyFont="1" applyBorder="1" applyAlignment="1" applyProtection="1">
      <alignment horizontal="center"/>
    </xf>
    <xf numFmtId="0" fontId="2" fillId="4" borderId="53" xfId="0" applyFont="1" applyFill="1" applyBorder="1" applyAlignment="1" applyProtection="1">
      <alignment horizontal="center"/>
      <protection locked="0"/>
    </xf>
    <xf numFmtId="0" fontId="2" fillId="4" borderId="49" xfId="0" applyFont="1" applyFill="1" applyBorder="1" applyAlignment="1" applyProtection="1">
      <alignment horizontal="center"/>
      <protection locked="0"/>
    </xf>
    <xf numFmtId="0" fontId="2" fillId="4" borderId="54" xfId="0" applyFont="1" applyFill="1" applyBorder="1" applyAlignment="1" applyProtection="1">
      <alignment horizontal="center"/>
      <protection locked="0"/>
    </xf>
    <xf numFmtId="0" fontId="2" fillId="4" borderId="23" xfId="0" applyNumberFormat="1" applyFont="1" applyFill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0" xfId="0" applyFont="1" applyAlignment="1" applyProtection="1">
      <alignment horizontal="left"/>
    </xf>
    <xf numFmtId="2" fontId="11" fillId="0" borderId="17" xfId="0" applyNumberFormat="1" applyFont="1" applyBorder="1" applyAlignment="1" applyProtection="1">
      <alignment horizontal="center"/>
    </xf>
    <xf numFmtId="2" fontId="11" fillId="0" borderId="1" xfId="0" applyNumberFormat="1" applyFont="1" applyBorder="1" applyAlignment="1" applyProtection="1">
      <alignment horizontal="center"/>
    </xf>
    <xf numFmtId="2" fontId="11" fillId="0" borderId="52" xfId="0" applyNumberFormat="1" applyFont="1" applyBorder="1" applyAlignment="1" applyProtection="1">
      <alignment horizontal="center"/>
    </xf>
    <xf numFmtId="2" fontId="11" fillId="0" borderId="47" xfId="0" applyNumberFormat="1" applyFont="1" applyBorder="1" applyAlignment="1" applyProtection="1">
      <alignment horizontal="center"/>
    </xf>
    <xf numFmtId="0" fontId="2" fillId="0" borderId="23" xfId="0" applyFont="1" applyBorder="1" applyAlignment="1" applyProtection="1">
      <alignment horizontal="center"/>
      <protection locked="0"/>
    </xf>
    <xf numFmtId="0" fontId="11" fillId="0" borderId="23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/>
    </xf>
    <xf numFmtId="0" fontId="11" fillId="0" borderId="52" xfId="0" applyFont="1" applyBorder="1" applyAlignment="1" applyProtection="1">
      <alignment horizontal="center"/>
    </xf>
    <xf numFmtId="0" fontId="11" fillId="0" borderId="47" xfId="0" applyFont="1" applyBorder="1" applyAlignment="1" applyProtection="1">
      <alignment horizontal="center"/>
    </xf>
    <xf numFmtId="164" fontId="11" fillId="0" borderId="17" xfId="0" applyNumberFormat="1" applyFont="1" applyBorder="1" applyAlignment="1" applyProtection="1">
      <alignment horizontal="center"/>
    </xf>
    <xf numFmtId="164" fontId="11" fillId="0" borderId="1" xfId="0" applyNumberFormat="1" applyFont="1" applyBorder="1" applyAlignment="1" applyProtection="1">
      <alignment horizontal="center"/>
    </xf>
    <xf numFmtId="164" fontId="11" fillId="0" borderId="52" xfId="0" applyNumberFormat="1" applyFont="1" applyBorder="1" applyAlignment="1" applyProtection="1">
      <alignment horizontal="center"/>
    </xf>
    <xf numFmtId="164" fontId="11" fillId="0" borderId="47" xfId="0" applyNumberFormat="1" applyFont="1" applyBorder="1" applyAlignment="1" applyProtection="1">
      <alignment horizontal="center"/>
    </xf>
    <xf numFmtId="0" fontId="11" fillId="0" borderId="17" xfId="0" applyFont="1" applyBorder="1" applyAlignment="1" applyProtection="1">
      <alignment horizontal="center" wrapText="1"/>
    </xf>
    <xf numFmtId="0" fontId="2" fillId="0" borderId="17" xfId="0" applyFont="1" applyBorder="1" applyAlignment="1" applyProtection="1">
      <alignment horizontal="center"/>
    </xf>
    <xf numFmtId="0" fontId="2" fillId="0" borderId="52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center"/>
    </xf>
    <xf numFmtId="0" fontId="2" fillId="0" borderId="55" xfId="0" applyFont="1" applyBorder="1" applyAlignment="1" applyProtection="1">
      <alignment horizontal="center"/>
    </xf>
    <xf numFmtId="167" fontId="11" fillId="0" borderId="17" xfId="0" applyNumberFormat="1" applyFont="1" applyBorder="1" applyAlignment="1" applyProtection="1">
      <alignment horizontal="center"/>
    </xf>
    <xf numFmtId="167" fontId="11" fillId="0" borderId="1" xfId="0" applyNumberFormat="1" applyFont="1" applyBorder="1" applyAlignment="1" applyProtection="1">
      <alignment horizontal="center"/>
    </xf>
    <xf numFmtId="167" fontId="11" fillId="0" borderId="52" xfId="0" applyNumberFormat="1" applyFont="1" applyBorder="1" applyAlignment="1" applyProtection="1">
      <alignment horizontal="center"/>
    </xf>
    <xf numFmtId="167" fontId="11" fillId="0" borderId="47" xfId="0" applyNumberFormat="1" applyFont="1" applyBorder="1" applyAlignment="1" applyProtection="1">
      <alignment horizontal="center"/>
    </xf>
    <xf numFmtId="164" fontId="11" fillId="4" borderId="17" xfId="0" applyNumberFormat="1" applyFont="1" applyFill="1" applyBorder="1" applyAlignment="1" applyProtection="1">
      <alignment horizontal="center"/>
      <protection locked="0"/>
    </xf>
    <xf numFmtId="164" fontId="11" fillId="4" borderId="1" xfId="0" applyNumberFormat="1" applyFont="1" applyFill="1" applyBorder="1" applyAlignment="1" applyProtection="1">
      <alignment horizontal="center"/>
      <protection locked="0"/>
    </xf>
    <xf numFmtId="164" fontId="11" fillId="4" borderId="52" xfId="0" applyNumberFormat="1" applyFont="1" applyFill="1" applyBorder="1" applyAlignment="1" applyProtection="1">
      <alignment horizontal="center"/>
      <protection locked="0"/>
    </xf>
    <xf numFmtId="164" fontId="11" fillId="4" borderId="47" xfId="0" applyNumberFormat="1" applyFont="1" applyFill="1" applyBorder="1" applyAlignment="1" applyProtection="1">
      <alignment horizontal="center"/>
      <protection locked="0"/>
    </xf>
    <xf numFmtId="0" fontId="11" fillId="4" borderId="17" xfId="0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0" fontId="11" fillId="4" borderId="52" xfId="0" applyFont="1" applyFill="1" applyBorder="1" applyAlignment="1" applyProtection="1">
      <alignment horizontal="center"/>
      <protection locked="0"/>
    </xf>
    <xf numFmtId="0" fontId="11" fillId="4" borderId="47" xfId="0" applyFont="1" applyFill="1" applyBorder="1" applyAlignment="1" applyProtection="1">
      <alignment horizontal="center"/>
      <protection locked="0"/>
    </xf>
    <xf numFmtId="0" fontId="11" fillId="0" borderId="48" xfId="0" applyFont="1" applyBorder="1" applyAlignment="1" applyProtection="1">
      <alignment horizontal="left" vertical="center"/>
    </xf>
    <xf numFmtId="0" fontId="11" fillId="0" borderId="49" xfId="0" applyFont="1" applyBorder="1" applyAlignment="1" applyProtection="1">
      <alignment horizontal="left" vertical="center"/>
    </xf>
    <xf numFmtId="0" fontId="11" fillId="0" borderId="50" xfId="0" applyFont="1" applyBorder="1" applyAlignment="1" applyProtection="1">
      <alignment horizontal="left" vertical="center"/>
    </xf>
    <xf numFmtId="0" fontId="11" fillId="0" borderId="51" xfId="0" applyFont="1" applyBorder="1" applyAlignment="1" applyProtection="1">
      <alignment horizontal="left" vertical="center"/>
    </xf>
    <xf numFmtId="49" fontId="11" fillId="4" borderId="0" xfId="0" applyNumberFormat="1" applyFont="1" applyFill="1" applyBorder="1" applyAlignment="1" applyProtection="1">
      <alignment horizontal="center"/>
      <protection locked="0"/>
    </xf>
    <xf numFmtId="49" fontId="2" fillId="4" borderId="0" xfId="0" applyNumberFormat="1" applyFont="1" applyFill="1" applyBorder="1" applyAlignment="1" applyProtection="1">
      <alignment horizontal="center"/>
      <protection locked="0"/>
    </xf>
    <xf numFmtId="0" fontId="11" fillId="0" borderId="23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2" xfId="0" applyFont="1" applyBorder="1" applyAlignment="1" applyProtection="1">
      <alignment horizontal="left" vertical="center"/>
    </xf>
    <xf numFmtId="0" fontId="2" fillId="0" borderId="23" xfId="0" applyFont="1" applyBorder="1" applyAlignment="1" applyProtection="1">
      <alignment horizontal="center"/>
    </xf>
    <xf numFmtId="0" fontId="11" fillId="0" borderId="10" xfId="0" applyFont="1" applyBorder="1" applyAlignment="1" applyProtection="1">
      <alignment horizontal="left" vertical="center"/>
    </xf>
    <xf numFmtId="0" fontId="2" fillId="4" borderId="14" xfId="0" applyFont="1" applyFill="1" applyBorder="1" applyAlignment="1" applyProtection="1">
      <alignment horizontal="center"/>
      <protection locked="0"/>
    </xf>
    <xf numFmtId="0" fontId="2" fillId="4" borderId="40" xfId="0" applyFont="1" applyFill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left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</xf>
    <xf numFmtId="0" fontId="11" fillId="0" borderId="42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2" fillId="0" borderId="42" xfId="0" applyFont="1" applyBorder="1" applyAlignment="1" applyProtection="1">
      <alignment horizontal="left" vertical="center"/>
    </xf>
    <xf numFmtId="0" fontId="2" fillId="0" borderId="45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center"/>
    </xf>
    <xf numFmtId="0" fontId="2" fillId="0" borderId="41" xfId="0" applyFont="1" applyBorder="1" applyAlignment="1" applyProtection="1">
      <alignment horizontal="center"/>
    </xf>
    <xf numFmtId="0" fontId="11" fillId="0" borderId="19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/>
    </xf>
    <xf numFmtId="0" fontId="2" fillId="0" borderId="46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40" xfId="0" applyFont="1" applyBorder="1" applyAlignment="1" applyProtection="1">
      <alignment horizontal="center"/>
      <protection locked="0"/>
    </xf>
    <xf numFmtId="0" fontId="4" fillId="4" borderId="23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41" xfId="0" applyFont="1" applyBorder="1" applyAlignment="1" applyProtection="1">
      <alignment horizontal="center"/>
      <protection locked="0"/>
    </xf>
    <xf numFmtId="0" fontId="11" fillId="0" borderId="14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0" fontId="11" fillId="0" borderId="42" xfId="0" applyFont="1" applyBorder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14" xfId="0" applyFont="1" applyBorder="1" applyAlignment="1" applyProtection="1">
      <alignment horizontal="center" vertical="center"/>
    </xf>
    <xf numFmtId="0" fontId="2" fillId="3" borderId="43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44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2" fillId="3" borderId="21" xfId="0" applyFont="1" applyFill="1" applyBorder="1" applyAlignment="1" applyProtection="1">
      <alignment horizontal="center"/>
    </xf>
    <xf numFmtId="0" fontId="2" fillId="3" borderId="13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25" xfId="0" applyFont="1" applyFill="1" applyBorder="1" applyAlignment="1" applyProtection="1">
      <alignment horizontal="center"/>
    </xf>
    <xf numFmtId="0" fontId="11" fillId="0" borderId="42" xfId="0" applyFont="1" applyBorder="1" applyAlignment="1" applyProtection="1">
      <alignment vertical="center" wrapText="1"/>
    </xf>
    <xf numFmtId="0" fontId="11" fillId="0" borderId="45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center" vertical="center" wrapText="1"/>
    </xf>
    <xf numFmtId="14" fontId="2" fillId="4" borderId="0" xfId="0" applyNumberFormat="1" applyFont="1" applyFill="1" applyBorder="1" applyAlignment="1" applyProtection="1">
      <alignment horizontal="center"/>
      <protection locked="0"/>
    </xf>
    <xf numFmtId="0" fontId="11" fillId="4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right"/>
    </xf>
    <xf numFmtId="0" fontId="2" fillId="4" borderId="0" xfId="0" applyFont="1" applyFill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18" fillId="0" borderId="19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23" xfId="0" applyFont="1" applyBorder="1" applyAlignment="1">
      <alignment horizontal="center"/>
    </xf>
    <xf numFmtId="0" fontId="0" fillId="4" borderId="0" xfId="0" applyFill="1" applyBorder="1" applyAlignment="1" applyProtection="1">
      <alignment horizontal="left" vertical="top"/>
      <protection locked="0"/>
    </xf>
    <xf numFmtId="0" fontId="0" fillId="4" borderId="2" xfId="0" applyFill="1" applyBorder="1" applyAlignment="1" applyProtection="1">
      <alignment horizontal="left" vertical="top"/>
      <protection locked="0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1" xfId="0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0" xfId="0" applyBorder="1" applyAlignment="1">
      <alignment horizontal="center"/>
    </xf>
    <xf numFmtId="164" fontId="0" fillId="0" borderId="43" xfId="0" applyNumberForma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6" xfId="0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80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2" fontId="0" fillId="0" borderId="65" xfId="0" applyNumberFormat="1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73" xfId="0" applyBorder="1" applyAlignment="1">
      <alignment horizontal="center"/>
    </xf>
    <xf numFmtId="0" fontId="1" fillId="4" borderId="14" xfId="0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40" xfId="0" applyFill="1" applyBorder="1" applyAlignment="1" applyProtection="1">
      <alignment horizontal="center"/>
      <protection locked="0"/>
    </xf>
    <xf numFmtId="2" fontId="0" fillId="0" borderId="14" xfId="0" applyNumberFormat="1" applyBorder="1" applyAlignment="1">
      <alignment horizontal="center"/>
    </xf>
    <xf numFmtId="0" fontId="0" fillId="4" borderId="43" xfId="0" applyFill="1" applyBorder="1" applyAlignment="1" applyProtection="1">
      <alignment horizontal="center"/>
      <protection locked="0"/>
    </xf>
    <xf numFmtId="0" fontId="0" fillId="4" borderId="76" xfId="0" applyFill="1" applyBorder="1" applyAlignment="1" applyProtection="1">
      <alignment horizontal="center"/>
      <protection locked="0"/>
    </xf>
    <xf numFmtId="0" fontId="0" fillId="4" borderId="71" xfId="0" applyFill="1" applyBorder="1" applyAlignment="1" applyProtection="1">
      <alignment horizontal="center"/>
      <protection locked="0"/>
    </xf>
    <xf numFmtId="0" fontId="0" fillId="4" borderId="77" xfId="0" applyFill="1" applyBorder="1" applyAlignment="1" applyProtection="1">
      <alignment horizontal="center"/>
      <protection locked="0"/>
    </xf>
    <xf numFmtId="0" fontId="0" fillId="4" borderId="72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0" fillId="0" borderId="53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54" xfId="0" applyBorder="1" applyAlignment="1">
      <alignment horizontal="center"/>
    </xf>
    <xf numFmtId="0" fontId="25" fillId="0" borderId="81" xfId="0" applyFont="1" applyBorder="1" applyAlignment="1">
      <alignment horizontal="left"/>
    </xf>
    <xf numFmtId="0" fontId="25" fillId="0" borderId="43" xfId="0" applyFont="1" applyBorder="1" applyAlignment="1">
      <alignment horizontal="left"/>
    </xf>
    <xf numFmtId="0" fontId="18" fillId="0" borderId="45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18" fillId="0" borderId="42" xfId="0" applyFont="1" applyBorder="1" applyAlignment="1">
      <alignment horizontal="left"/>
    </xf>
    <xf numFmtId="0" fontId="18" fillId="0" borderId="14" xfId="0" applyFont="1" applyBorder="1" applyAlignment="1">
      <alignment horizontal="left"/>
    </xf>
    <xf numFmtId="0" fontId="0" fillId="4" borderId="46" xfId="0" applyFill="1" applyBorder="1" applyAlignment="1" applyProtection="1">
      <alignment horizontal="center"/>
      <protection locked="0"/>
    </xf>
    <xf numFmtId="0" fontId="0" fillId="4" borderId="41" xfId="0" applyFill="1" applyBorder="1" applyAlignment="1" applyProtection="1">
      <alignment horizontal="center"/>
      <protection locked="0"/>
    </xf>
    <xf numFmtId="0" fontId="18" fillId="0" borderId="81" xfId="0" applyFont="1" applyBorder="1" applyAlignment="1">
      <alignment horizontal="left"/>
    </xf>
    <xf numFmtId="0" fontId="18" fillId="0" borderId="43" xfId="0" applyFont="1" applyBorder="1" applyAlignment="1">
      <alignment horizontal="left"/>
    </xf>
    <xf numFmtId="0" fontId="0" fillId="6" borderId="14" xfId="0" applyFill="1" applyBorder="1" applyAlignment="1">
      <alignment horizontal="center"/>
    </xf>
    <xf numFmtId="0" fontId="18" fillId="0" borderId="43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4" xfId="0" quotePrefix="1" applyFont="1" applyBorder="1" applyAlignment="1">
      <alignment horizontal="center"/>
    </xf>
    <xf numFmtId="0" fontId="18" fillId="0" borderId="43" xfId="0" quotePrefix="1" applyFont="1" applyBorder="1" applyAlignment="1">
      <alignment horizontal="center"/>
    </xf>
    <xf numFmtId="0" fontId="0" fillId="6" borderId="43" xfId="0" applyFill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6" borderId="15" xfId="0" applyFill="1" applyBorder="1" applyAlignment="1">
      <alignment horizontal="center"/>
    </xf>
    <xf numFmtId="2" fontId="0" fillId="4" borderId="53" xfId="0" applyNumberFormat="1" applyFill="1" applyBorder="1" applyAlignment="1" applyProtection="1">
      <alignment horizontal="center"/>
      <protection locked="0"/>
    </xf>
    <xf numFmtId="2" fontId="0" fillId="4" borderId="49" xfId="0" applyNumberFormat="1" applyFill="1" applyBorder="1" applyAlignment="1" applyProtection="1">
      <alignment horizontal="center"/>
      <protection locked="0"/>
    </xf>
    <xf numFmtId="2" fontId="0" fillId="4" borderId="54" xfId="0" applyNumberFormat="1" applyFill="1" applyBorder="1" applyAlignment="1" applyProtection="1">
      <alignment horizontal="center"/>
      <protection locked="0"/>
    </xf>
    <xf numFmtId="164" fontId="0" fillId="4" borderId="53" xfId="0" applyNumberFormat="1" applyFill="1" applyBorder="1" applyAlignment="1" applyProtection="1">
      <alignment horizontal="center"/>
      <protection locked="0"/>
    </xf>
    <xf numFmtId="164" fontId="0" fillId="4" borderId="49" xfId="0" applyNumberFormat="1" applyFill="1" applyBorder="1" applyAlignment="1" applyProtection="1">
      <alignment horizontal="center"/>
      <protection locked="0"/>
    </xf>
    <xf numFmtId="164" fontId="0" fillId="4" borderId="54" xfId="0" applyNumberFormat="1" applyFill="1" applyBorder="1" applyAlignment="1" applyProtection="1">
      <alignment horizontal="center"/>
      <protection locked="0"/>
    </xf>
    <xf numFmtId="164" fontId="0" fillId="4" borderId="76" xfId="0" applyNumberFormat="1" applyFill="1" applyBorder="1" applyAlignment="1" applyProtection="1">
      <alignment horizontal="center"/>
      <protection locked="0"/>
    </xf>
    <xf numFmtId="164" fontId="0" fillId="4" borderId="71" xfId="0" applyNumberFormat="1" applyFill="1" applyBorder="1" applyAlignment="1" applyProtection="1">
      <alignment horizontal="center"/>
      <protection locked="0"/>
    </xf>
    <xf numFmtId="164" fontId="0" fillId="4" borderId="72" xfId="0" applyNumberFormat="1" applyFill="1" applyBorder="1" applyAlignment="1" applyProtection="1">
      <alignment horizontal="center"/>
      <protection locked="0"/>
    </xf>
    <xf numFmtId="0" fontId="18" fillId="6" borderId="14" xfId="0" applyFont="1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0" fontId="18" fillId="0" borderId="48" xfId="0" applyFont="1" applyBorder="1" applyAlignment="1">
      <alignment horizontal="left"/>
    </xf>
    <xf numFmtId="0" fontId="18" fillId="0" borderId="49" xfId="0" applyFont="1" applyBorder="1" applyAlignment="1">
      <alignment horizontal="left"/>
    </xf>
    <xf numFmtId="0" fontId="18" fillId="0" borderId="64" xfId="0" applyFont="1" applyBorder="1" applyAlignment="1">
      <alignment horizontal="left"/>
    </xf>
    <xf numFmtId="0" fontId="0" fillId="0" borderId="71" xfId="0" applyBorder="1" applyAlignment="1">
      <alignment horizontal="left"/>
    </xf>
    <xf numFmtId="0" fontId="0" fillId="0" borderId="77" xfId="0" applyBorder="1" applyAlignment="1">
      <alignment horizontal="left"/>
    </xf>
    <xf numFmtId="0" fontId="18" fillId="0" borderId="50" xfId="0" applyFont="1" applyBorder="1" applyAlignment="1">
      <alignment horizontal="left"/>
    </xf>
    <xf numFmtId="0" fontId="18" fillId="0" borderId="51" xfId="0" applyFont="1" applyBorder="1" applyAlignment="1">
      <alignment horizontal="left"/>
    </xf>
    <xf numFmtId="0" fontId="18" fillId="0" borderId="65" xfId="0" applyFont="1" applyBorder="1" applyAlignment="1">
      <alignment horizontal="left"/>
    </xf>
    <xf numFmtId="0" fontId="0" fillId="4" borderId="2" xfId="0" applyFill="1" applyBorder="1" applyAlignment="1" applyProtection="1">
      <alignment horizontal="center"/>
      <protection locked="0"/>
    </xf>
    <xf numFmtId="0" fontId="18" fillId="0" borderId="74" xfId="0" applyFont="1" applyBorder="1" applyAlignment="1">
      <alignment horizontal="left"/>
    </xf>
    <xf numFmtId="0" fontId="18" fillId="0" borderId="71" xfId="0" applyFont="1" applyBorder="1" applyAlignment="1">
      <alignment horizontal="left"/>
    </xf>
    <xf numFmtId="0" fontId="0" fillId="4" borderId="49" xfId="0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0" fontId="18" fillId="0" borderId="49" xfId="0" applyFont="1" applyBorder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164" fontId="0" fillId="0" borderId="49" xfId="0" applyNumberFormat="1" applyFill="1" applyBorder="1" applyAlignment="1">
      <alignment horizontal="center"/>
    </xf>
    <xf numFmtId="164" fontId="0" fillId="0" borderId="54" xfId="0" applyNumberFormat="1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18" fillId="6" borderId="53" xfId="0" applyFont="1" applyFill="1" applyBorder="1" applyAlignment="1">
      <alignment horizontal="center"/>
    </xf>
    <xf numFmtId="0" fontId="18" fillId="6" borderId="49" xfId="0" applyFont="1" applyFill="1" applyBorder="1" applyAlignment="1">
      <alignment horizontal="center"/>
    </xf>
    <xf numFmtId="0" fontId="18" fillId="6" borderId="5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53" xfId="0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8" fillId="0" borderId="44" xfId="0" applyFont="1" applyBorder="1" applyAlignment="1">
      <alignment horizontal="center"/>
    </xf>
    <xf numFmtId="0" fontId="18" fillId="0" borderId="9" xfId="0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2" fontId="0" fillId="0" borderId="16" xfId="0" applyNumberFormat="1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2" fontId="0" fillId="0" borderId="66" xfId="0" applyNumberFormat="1" applyBorder="1" applyAlignment="1">
      <alignment horizontal="center"/>
    </xf>
    <xf numFmtId="0" fontId="18" fillId="0" borderId="74" xfId="0" applyFont="1" applyBorder="1" applyAlignment="1">
      <alignment horizontal="center"/>
    </xf>
    <xf numFmtId="0" fontId="18" fillId="0" borderId="72" xfId="0" applyFont="1" applyBorder="1" applyAlignment="1">
      <alignment horizontal="center"/>
    </xf>
    <xf numFmtId="0" fontId="0" fillId="6" borderId="76" xfId="0" applyFill="1" applyBorder="1" applyAlignment="1">
      <alignment horizontal="center"/>
    </xf>
    <xf numFmtId="0" fontId="0" fillId="6" borderId="71" xfId="0" applyFill="1" applyBorder="1" applyAlignment="1">
      <alignment horizontal="center"/>
    </xf>
    <xf numFmtId="0" fontId="0" fillId="6" borderId="77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8" fillId="0" borderId="48" xfId="0" applyFont="1" applyBorder="1" applyAlignment="1">
      <alignment horizontal="center"/>
    </xf>
    <xf numFmtId="0" fontId="18" fillId="0" borderId="54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78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79" xfId="0" applyFont="1" applyBorder="1" applyAlignment="1">
      <alignment horizontal="center"/>
    </xf>
    <xf numFmtId="0" fontId="0" fillId="6" borderId="78" xfId="0" applyFill="1" applyBorder="1" applyAlignment="1">
      <alignment horizontal="center"/>
    </xf>
    <xf numFmtId="0" fontId="0" fillId="6" borderId="79" xfId="0" applyFill="1" applyBorder="1" applyAlignment="1">
      <alignment horizontal="center"/>
    </xf>
    <xf numFmtId="0" fontId="2" fillId="0" borderId="7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79" xfId="0" applyFont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53" xfId="0" applyFill="1" applyBorder="1" applyAlignment="1">
      <alignment horizontal="center"/>
    </xf>
    <xf numFmtId="0" fontId="0" fillId="6" borderId="49" xfId="0" applyFill="1" applyBorder="1" applyAlignment="1">
      <alignment horizontal="center"/>
    </xf>
    <xf numFmtId="0" fontId="0" fillId="6" borderId="64" xfId="0" applyFill="1" applyBorder="1" applyAlignment="1">
      <alignment horizontal="center"/>
    </xf>
    <xf numFmtId="0" fontId="18" fillId="0" borderId="50" xfId="0" applyFont="1" applyBorder="1" applyAlignment="1">
      <alignment horizontal="center"/>
    </xf>
    <xf numFmtId="0" fontId="18" fillId="0" borderId="73" xfId="0" applyFont="1" applyBorder="1" applyAlignment="1">
      <alignment horizontal="center"/>
    </xf>
    <xf numFmtId="0" fontId="18" fillId="0" borderId="48" xfId="0" quotePrefix="1" applyFont="1" applyBorder="1" applyAlignment="1">
      <alignment horizontal="center"/>
    </xf>
    <xf numFmtId="0" fontId="18" fillId="0" borderId="54" xfId="0" quotePrefix="1" applyFont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2" fontId="0" fillId="0" borderId="49" xfId="0" applyNumberFormat="1" applyFill="1" applyBorder="1" applyAlignment="1">
      <alignment horizontal="center"/>
    </xf>
    <xf numFmtId="0" fontId="0" fillId="4" borderId="16" xfId="0" applyFill="1" applyBorder="1" applyAlignment="1" applyProtection="1">
      <alignment horizontal="center"/>
      <protection locked="0"/>
    </xf>
    <xf numFmtId="0" fontId="18" fillId="0" borderId="16" xfId="0" quotePrefix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18" fillId="0" borderId="71" xfId="0" applyFont="1" applyBorder="1" applyAlignment="1">
      <alignment horizontal="center" wrapText="1"/>
    </xf>
    <xf numFmtId="0" fontId="18" fillId="0" borderId="72" xfId="0" applyFont="1" applyBorder="1" applyAlignment="1">
      <alignment horizontal="center" wrapText="1"/>
    </xf>
    <xf numFmtId="0" fontId="0" fillId="4" borderId="23" xfId="0" applyFill="1" applyBorder="1" applyAlignment="1" applyProtection="1">
      <alignment horizontal="center"/>
      <protection locked="0"/>
    </xf>
    <xf numFmtId="0" fontId="18" fillId="0" borderId="49" xfId="0" quotePrefix="1" applyFont="1" applyBorder="1" applyAlignment="1">
      <alignment horizontal="center"/>
    </xf>
    <xf numFmtId="0" fontId="18" fillId="0" borderId="71" xfId="0" quotePrefix="1" applyFont="1" applyBorder="1" applyAlignment="1">
      <alignment horizontal="center" wrapText="1"/>
    </xf>
    <xf numFmtId="0" fontId="18" fillId="0" borderId="72" xfId="0" quotePrefix="1" applyFont="1" applyBorder="1" applyAlignment="1">
      <alignment horizontal="center" wrapText="1"/>
    </xf>
    <xf numFmtId="0" fontId="18" fillId="0" borderId="76" xfId="0" quotePrefix="1" applyFont="1" applyBorder="1" applyAlignment="1">
      <alignment horizontal="center" wrapText="1"/>
    </xf>
    <xf numFmtId="0" fontId="18" fillId="0" borderId="77" xfId="0" quotePrefix="1" applyFont="1" applyBorder="1" applyAlignment="1">
      <alignment horizontal="center" wrapText="1"/>
    </xf>
    <xf numFmtId="0" fontId="18" fillId="0" borderId="74" xfId="0" quotePrefix="1" applyFont="1" applyBorder="1" applyAlignment="1">
      <alignment horizontal="center" wrapText="1"/>
    </xf>
    <xf numFmtId="0" fontId="11" fillId="0" borderId="29" xfId="0" applyFont="1" applyBorder="1" applyAlignment="1" applyProtection="1">
      <alignment horizontal="left"/>
    </xf>
    <xf numFmtId="14" fontId="2" fillId="4" borderId="23" xfId="0" applyNumberFormat="1" applyFont="1" applyFill="1" applyBorder="1" applyAlignment="1" applyProtection="1">
      <alignment horizontal="center"/>
      <protection locked="0"/>
    </xf>
    <xf numFmtId="14" fontId="2" fillId="4" borderId="2" xfId="0" applyNumberFormat="1" applyFont="1" applyFill="1" applyBorder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top" wrapText="1"/>
    </xf>
    <xf numFmtId="0" fontId="2" fillId="0" borderId="30" xfId="0" applyFont="1" applyBorder="1" applyAlignment="1" applyProtection="1">
      <alignment horizontal="left"/>
    </xf>
    <xf numFmtId="0" fontId="2" fillId="4" borderId="5" xfId="0" applyFont="1" applyFill="1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2" fontId="11" fillId="0" borderId="7" xfId="0" applyNumberFormat="1" applyFont="1" applyBorder="1" applyAlignment="1" applyProtection="1">
      <alignment horizontal="left"/>
    </xf>
    <xf numFmtId="2" fontId="11" fillId="0" borderId="0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11" fillId="0" borderId="62" xfId="0" applyFont="1" applyBorder="1" applyAlignment="1" applyProtection="1">
      <alignment horizontal="center" wrapText="1"/>
    </xf>
    <xf numFmtId="0" fontId="11" fillId="0" borderId="27" xfId="0" applyFont="1" applyBorder="1" applyAlignment="1" applyProtection="1">
      <alignment horizontal="center" wrapText="1"/>
    </xf>
    <xf numFmtId="0" fontId="11" fillId="0" borderId="28" xfId="0" applyFont="1" applyBorder="1" applyAlignment="1" applyProtection="1">
      <alignment horizontal="center" wrapText="1"/>
    </xf>
    <xf numFmtId="0" fontId="11" fillId="0" borderId="20" xfId="0" applyFont="1" applyBorder="1" applyAlignment="1" applyProtection="1">
      <alignment horizontal="center" wrapText="1"/>
    </xf>
    <xf numFmtId="0" fontId="11" fillId="0" borderId="0" xfId="0" applyFont="1" applyBorder="1" applyAlignment="1" applyProtection="1">
      <alignment horizontal="center" wrapText="1"/>
    </xf>
    <xf numFmtId="0" fontId="11" fillId="0" borderId="30" xfId="0" applyFont="1" applyBorder="1" applyAlignment="1" applyProtection="1">
      <alignment horizontal="center" wrapText="1"/>
    </xf>
    <xf numFmtId="0" fontId="11" fillId="0" borderId="3" xfId="0" applyFont="1" applyBorder="1" applyAlignment="1" applyProtection="1">
      <alignment horizontal="center" wrapText="1"/>
    </xf>
    <xf numFmtId="0" fontId="11" fillId="0" borderId="2" xfId="0" applyFont="1" applyBorder="1" applyAlignment="1" applyProtection="1">
      <alignment horizontal="center" wrapText="1"/>
    </xf>
    <xf numFmtId="0" fontId="11" fillId="0" borderId="63" xfId="0" applyFont="1" applyBorder="1" applyAlignment="1" applyProtection="1">
      <alignment horizontal="center" wrapText="1"/>
    </xf>
    <xf numFmtId="0" fontId="11" fillId="0" borderId="23" xfId="0" applyFont="1" applyBorder="1" applyAlignment="1" applyProtection="1">
      <alignment horizontal="center"/>
    </xf>
    <xf numFmtId="0" fontId="11" fillId="0" borderId="26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2" fillId="0" borderId="63" xfId="0" applyFont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horizontal="center"/>
      <protection locked="0"/>
    </xf>
    <xf numFmtId="0" fontId="11" fillId="0" borderId="58" xfId="0" applyFont="1" applyBorder="1" applyAlignment="1" applyProtection="1">
      <alignment horizontal="left"/>
    </xf>
    <xf numFmtId="0" fontId="11" fillId="0" borderId="14" xfId="0" applyFont="1" applyBorder="1" applyAlignment="1" applyProtection="1">
      <alignment horizontal="center"/>
    </xf>
    <xf numFmtId="0" fontId="11" fillId="0" borderId="56" xfId="0" applyFont="1" applyBorder="1" applyAlignment="1" applyProtection="1">
      <alignment horizontal="left"/>
    </xf>
    <xf numFmtId="0" fontId="2" fillId="0" borderId="14" xfId="0" applyFont="1" applyBorder="1" applyAlignment="1" applyProtection="1">
      <alignment horizontal="left"/>
    </xf>
    <xf numFmtId="0" fontId="2" fillId="0" borderId="56" xfId="0" applyFont="1" applyBorder="1" applyAlignment="1" applyProtection="1">
      <alignment horizontal="left"/>
    </xf>
    <xf numFmtId="0" fontId="2" fillId="0" borderId="57" xfId="0" applyFont="1" applyBorder="1" applyAlignment="1" applyProtection="1">
      <alignment horizontal="center"/>
    </xf>
    <xf numFmtId="0" fontId="11" fillId="4" borderId="23" xfId="0" applyFont="1" applyFill="1" applyBorder="1" applyAlignment="1" applyProtection="1">
      <alignment horizontal="center"/>
      <protection locked="0"/>
    </xf>
    <xf numFmtId="0" fontId="11" fillId="0" borderId="59" xfId="0" applyFont="1" applyBorder="1" applyAlignment="1" applyProtection="1">
      <alignment horizontal="center" vertical="center"/>
    </xf>
    <xf numFmtId="0" fontId="2" fillId="0" borderId="60" xfId="0" applyFont="1" applyBorder="1" applyAlignment="1" applyProtection="1">
      <alignment horizontal="center" vertical="center"/>
    </xf>
    <xf numFmtId="0" fontId="2" fillId="0" borderId="61" xfId="0" applyFont="1" applyBorder="1" applyAlignment="1" applyProtection="1">
      <alignment horizontal="center" vertical="center"/>
    </xf>
    <xf numFmtId="0" fontId="2" fillId="0" borderId="56" xfId="0" applyFont="1" applyBorder="1" applyAlignment="1" applyProtection="1">
      <alignment horizontal="center" vertical="center"/>
    </xf>
    <xf numFmtId="0" fontId="2" fillId="0" borderId="57" xfId="0" applyFont="1" applyBorder="1" applyAlignment="1" applyProtection="1">
      <alignment horizontal="center" vertical="center"/>
    </xf>
    <xf numFmtId="0" fontId="2" fillId="3" borderId="57" xfId="0" applyFont="1" applyFill="1" applyBorder="1" applyAlignment="1" applyProtection="1">
      <alignment horizontal="center"/>
    </xf>
    <xf numFmtId="0" fontId="2" fillId="4" borderId="57" xfId="0" applyFont="1" applyFill="1" applyBorder="1" applyAlignment="1" applyProtection="1">
      <alignment horizontal="center"/>
      <protection locked="0"/>
    </xf>
    <xf numFmtId="0" fontId="2" fillId="4" borderId="56" xfId="0" applyFont="1" applyFill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center"/>
    </xf>
    <xf numFmtId="2" fontId="2" fillId="0" borderId="2" xfId="0" applyNumberFormat="1" applyFont="1" applyBorder="1" applyAlignment="1" applyProtection="1">
      <alignment horizontal="center"/>
    </xf>
    <xf numFmtId="2" fontId="2" fillId="4" borderId="0" xfId="0" applyNumberFormat="1" applyFont="1" applyFill="1" applyBorder="1" applyAlignment="1" applyProtection="1">
      <alignment horizontal="center"/>
      <protection locked="0"/>
    </xf>
    <xf numFmtId="2" fontId="2" fillId="4" borderId="2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Border="1" applyAlignment="1" applyProtection="1">
      <alignment horizontal="center"/>
    </xf>
    <xf numFmtId="164" fontId="2" fillId="0" borderId="2" xfId="0" applyNumberFormat="1" applyFont="1" applyBorder="1" applyAlignment="1" applyProtection="1">
      <alignment horizontal="center"/>
    </xf>
    <xf numFmtId="164" fontId="11" fillId="4" borderId="0" xfId="0" applyNumberFormat="1" applyFont="1" applyFill="1" applyBorder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left"/>
    </xf>
    <xf numFmtId="0" fontId="11" fillId="0" borderId="4" xfId="0" applyFont="1" applyBorder="1" applyAlignment="1" applyProtection="1">
      <alignment horizontal="left" vertical="center"/>
    </xf>
    <xf numFmtId="0" fontId="11" fillId="0" borderId="5" xfId="0" applyFont="1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/>
    </xf>
    <xf numFmtId="164" fontId="11" fillId="0" borderId="23" xfId="0" applyNumberFormat="1" applyFont="1" applyBorder="1" applyAlignment="1" applyProtection="1">
      <alignment horizontal="center"/>
    </xf>
    <xf numFmtId="164" fontId="11" fillId="0" borderId="2" xfId="0" applyNumberFormat="1" applyFont="1" applyBorder="1" applyAlignment="1" applyProtection="1">
      <alignment horizontal="center"/>
    </xf>
    <xf numFmtId="0" fontId="4" fillId="4" borderId="0" xfId="0" applyFont="1" applyFill="1" applyAlignment="1" applyProtection="1">
      <alignment horizontal="center"/>
      <protection locked="0"/>
    </xf>
    <xf numFmtId="0" fontId="21" fillId="0" borderId="0" xfId="0" applyFont="1" applyBorder="1" applyAlignment="1" applyProtection="1">
      <alignment horizontal="center"/>
    </xf>
    <xf numFmtId="14" fontId="2" fillId="4" borderId="0" xfId="0" applyNumberFormat="1" applyFont="1" applyFill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center"/>
    </xf>
    <xf numFmtId="2" fontId="11" fillId="0" borderId="4" xfId="0" applyNumberFormat="1" applyFont="1" applyBorder="1" applyAlignment="1" applyProtection="1">
      <alignment horizontal="center"/>
    </xf>
    <xf numFmtId="2" fontId="11" fillId="0" borderId="5" xfId="0" applyNumberFormat="1" applyFont="1" applyBorder="1" applyAlignment="1" applyProtection="1">
      <alignment horizontal="center"/>
    </xf>
    <xf numFmtId="2" fontId="11" fillId="0" borderId="7" xfId="0" applyNumberFormat="1" applyFont="1" applyBorder="1" applyAlignment="1" applyProtection="1">
      <alignment horizontal="center"/>
    </xf>
    <xf numFmtId="2" fontId="11" fillId="0" borderId="0" xfId="0" applyNumberFormat="1" applyFont="1" applyBorder="1" applyAlignment="1" applyProtection="1">
      <alignment horizontal="center"/>
    </xf>
    <xf numFmtId="0" fontId="11" fillId="0" borderId="5" xfId="0" applyFont="1" applyBorder="1" applyAlignment="1" applyProtection="1">
      <alignment horizontal="center"/>
    </xf>
    <xf numFmtId="0" fontId="11" fillId="0" borderId="6" xfId="0" applyFont="1" applyBorder="1" applyAlignment="1" applyProtection="1">
      <alignment horizontal="center"/>
    </xf>
    <xf numFmtId="0" fontId="11" fillId="0" borderId="8" xfId="0" applyFont="1" applyBorder="1" applyAlignment="1" applyProtection="1">
      <alignment horizontal="center"/>
    </xf>
    <xf numFmtId="0" fontId="11" fillId="0" borderId="19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center" vertical="center"/>
    </xf>
    <xf numFmtId="0" fontId="11" fillId="0" borderId="0" xfId="0" applyNumberFormat="1" applyFont="1" applyBorder="1" applyAlignment="1" applyProtection="1">
      <alignment horizontal="center"/>
    </xf>
    <xf numFmtId="0" fontId="11" fillId="0" borderId="2" xfId="0" applyNumberFormat="1" applyFont="1" applyBorder="1" applyAlignment="1" applyProtection="1">
      <alignment horizontal="center"/>
    </xf>
    <xf numFmtId="0" fontId="11" fillId="0" borderId="19" xfId="0" applyFont="1" applyBorder="1" applyAlignment="1" applyProtection="1">
      <alignment horizontal="center" vertical="center" wrapText="1"/>
    </xf>
    <xf numFmtId="0" fontId="11" fillId="0" borderId="23" xfId="0" applyFont="1" applyBorder="1" applyAlignment="1" applyProtection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</xf>
    <xf numFmtId="0" fontId="11" fillId="0" borderId="2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21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25" xfId="0" applyFont="1" applyBorder="1" applyAlignment="1" applyProtection="1">
      <alignment horizontal="center" vertical="center" wrapText="1"/>
    </xf>
    <xf numFmtId="166" fontId="11" fillId="4" borderId="19" xfId="0" applyNumberFormat="1" applyFont="1" applyFill="1" applyBorder="1" applyAlignment="1" applyProtection="1">
      <alignment horizontal="center" vertical="center"/>
      <protection locked="0"/>
    </xf>
    <xf numFmtId="166" fontId="11" fillId="4" borderId="23" xfId="0" applyNumberFormat="1" applyFont="1" applyFill="1" applyBorder="1" applyAlignment="1" applyProtection="1">
      <alignment horizontal="center" vertical="center"/>
      <protection locked="0"/>
    </xf>
    <xf numFmtId="166" fontId="11" fillId="4" borderId="24" xfId="0" applyNumberFormat="1" applyFont="1" applyFill="1" applyBorder="1" applyAlignment="1" applyProtection="1">
      <alignment horizontal="center" vertical="center"/>
      <protection locked="0"/>
    </xf>
    <xf numFmtId="166" fontId="11" fillId="4" borderId="20" xfId="0" applyNumberFormat="1" applyFont="1" applyFill="1" applyBorder="1" applyAlignment="1" applyProtection="1">
      <alignment horizontal="center" vertical="center"/>
      <protection locked="0"/>
    </xf>
    <xf numFmtId="166" fontId="11" fillId="4" borderId="0" xfId="0" applyNumberFormat="1" applyFont="1" applyFill="1" applyBorder="1" applyAlignment="1" applyProtection="1">
      <alignment horizontal="center" vertical="center"/>
      <protection locked="0"/>
    </xf>
    <xf numFmtId="166" fontId="11" fillId="4" borderId="21" xfId="0" applyNumberFormat="1" applyFont="1" applyFill="1" applyBorder="1" applyAlignment="1" applyProtection="1">
      <alignment horizontal="center" vertical="center"/>
      <protection locked="0"/>
    </xf>
    <xf numFmtId="166" fontId="11" fillId="4" borderId="3" xfId="0" applyNumberFormat="1" applyFont="1" applyFill="1" applyBorder="1" applyAlignment="1" applyProtection="1">
      <alignment horizontal="center" vertical="center"/>
      <protection locked="0"/>
    </xf>
    <xf numFmtId="166" fontId="11" fillId="4" borderId="2" xfId="0" applyNumberFormat="1" applyFont="1" applyFill="1" applyBorder="1" applyAlignment="1" applyProtection="1">
      <alignment horizontal="center" vertical="center"/>
      <protection locked="0"/>
    </xf>
    <xf numFmtId="166" fontId="11" fillId="4" borderId="25" xfId="0" applyNumberFormat="1" applyFont="1" applyFill="1" applyBorder="1" applyAlignment="1" applyProtection="1">
      <alignment horizontal="center" vertical="center"/>
      <protection locked="0"/>
    </xf>
    <xf numFmtId="0" fontId="21" fillId="5" borderId="5" xfId="0" applyFont="1" applyFill="1" applyBorder="1" applyAlignment="1" applyProtection="1">
      <alignment horizontal="center"/>
    </xf>
    <xf numFmtId="0" fontId="21" fillId="5" borderId="0" xfId="0" applyFont="1" applyFill="1" applyBorder="1" applyAlignment="1" applyProtection="1">
      <alignment horizontal="center"/>
    </xf>
    <xf numFmtId="0" fontId="11" fillId="0" borderId="23" xfId="0" applyNumberFormat="1" applyFont="1" applyBorder="1" applyAlignment="1" applyProtection="1">
      <alignment horizontal="center"/>
    </xf>
    <xf numFmtId="164" fontId="11" fillId="0" borderId="0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165" fontId="11" fillId="0" borderId="23" xfId="0" applyNumberFormat="1" applyFont="1" applyBorder="1" applyAlignment="1" applyProtection="1">
      <alignment horizontal="center"/>
    </xf>
    <xf numFmtId="165" fontId="11" fillId="0" borderId="2" xfId="0" applyNumberFormat="1" applyFont="1" applyBorder="1" applyAlignment="1" applyProtection="1">
      <alignment horizontal="center"/>
    </xf>
    <xf numFmtId="164" fontId="21" fillId="0" borderId="0" xfId="0" applyNumberFormat="1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64" fontId="11" fillId="0" borderId="0" xfId="0" applyNumberFormat="1" applyFont="1" applyBorder="1" applyAlignment="1" applyProtection="1">
      <alignment horizontal="center"/>
    </xf>
    <xf numFmtId="0" fontId="16" fillId="0" borderId="7" xfId="0" applyFont="1" applyBorder="1" applyAlignment="1" applyProtection="1">
      <alignment horizontal="left"/>
    </xf>
    <xf numFmtId="0" fontId="16" fillId="0" borderId="0" xfId="0" applyFont="1" applyBorder="1" applyAlignment="1" applyProtection="1">
      <alignment horizontal="left"/>
    </xf>
    <xf numFmtId="0" fontId="16" fillId="0" borderId="9" xfId="0" applyFont="1" applyBorder="1" applyAlignment="1" applyProtection="1">
      <alignment horizontal="left"/>
    </xf>
    <xf numFmtId="0" fontId="16" fillId="0" borderId="10" xfId="0" applyFont="1" applyBorder="1" applyAlignment="1" applyProtection="1">
      <alignment horizontal="left"/>
    </xf>
    <xf numFmtId="164" fontId="2" fillId="4" borderId="0" xfId="0" applyNumberFormat="1" applyFont="1" applyFill="1" applyBorder="1" applyAlignment="1" applyProtection="1">
      <alignment horizontal="center"/>
      <protection locked="0"/>
    </xf>
    <xf numFmtId="164" fontId="2" fillId="4" borderId="2" xfId="0" applyNumberFormat="1" applyFont="1" applyFill="1" applyBorder="1" applyAlignment="1" applyProtection="1">
      <alignment horizontal="center"/>
      <protection locked="0"/>
    </xf>
    <xf numFmtId="0" fontId="11" fillId="0" borderId="57" xfId="0" applyFont="1" applyBorder="1" applyAlignment="1" applyProtection="1">
      <alignment horizontal="center" vertical="center"/>
    </xf>
    <xf numFmtId="0" fontId="11" fillId="0" borderId="56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/>
    </xf>
    <xf numFmtId="0" fontId="11" fillId="0" borderId="29" xfId="0" applyFont="1" applyBorder="1" applyAlignment="1" applyProtection="1">
      <alignment horizontal="right"/>
    </xf>
    <xf numFmtId="14" fontId="2" fillId="0" borderId="23" xfId="0" applyNumberFormat="1" applyFont="1" applyBorder="1" applyAlignment="1" applyProtection="1">
      <alignment horizont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left"/>
    </xf>
    <xf numFmtId="0" fontId="4" fillId="0" borderId="26" xfId="0" applyFont="1" applyBorder="1" applyAlignment="1" applyProtection="1">
      <alignment horizontal="center" vertical="center"/>
    </xf>
    <xf numFmtId="164" fontId="2" fillId="0" borderId="23" xfId="0" applyNumberFormat="1" applyFont="1" applyBorder="1" applyAlignment="1" applyProtection="1">
      <alignment horizontal="center" vertical="center" wrapText="1"/>
    </xf>
    <xf numFmtId="164" fontId="2" fillId="0" borderId="2" xfId="0" applyNumberFormat="1" applyFont="1" applyBorder="1" applyAlignment="1" applyProtection="1">
      <alignment horizontal="center" vertical="center" wrapText="1"/>
    </xf>
    <xf numFmtId="166" fontId="2" fillId="4" borderId="14" xfId="0" applyNumberFormat="1" applyFont="1" applyFill="1" applyBorder="1" applyAlignment="1" applyProtection="1">
      <alignment horizontal="center"/>
      <protection locked="0"/>
    </xf>
    <xf numFmtId="166" fontId="2" fillId="4" borderId="57" xfId="0" applyNumberFormat="1" applyFont="1" applyFill="1" applyBorder="1" applyAlignment="1" applyProtection="1">
      <alignment horizontal="center"/>
      <protection locked="0"/>
    </xf>
    <xf numFmtId="0" fontId="11" fillId="0" borderId="27" xfId="0" applyFont="1" applyBorder="1" applyAlignment="1" applyProtection="1">
      <alignment horizontal="center" vertical="center"/>
    </xf>
    <xf numFmtId="0" fontId="11" fillId="0" borderId="56" xfId="0" applyFont="1" applyBorder="1" applyAlignment="1" applyProtection="1">
      <alignment horizontal="left" vertical="center"/>
    </xf>
    <xf numFmtId="0" fontId="2" fillId="0" borderId="56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/>
    </xf>
    <xf numFmtId="0" fontId="11" fillId="0" borderId="20" xfId="0" applyFont="1" applyBorder="1" applyAlignment="1" applyProtection="1">
      <alignment horizontal="center"/>
    </xf>
    <xf numFmtId="0" fontId="11" fillId="4" borderId="0" xfId="0" applyNumberFormat="1" applyFont="1" applyFill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</xf>
    <xf numFmtId="0" fontId="11" fillId="0" borderId="7" xfId="0" applyFont="1" applyBorder="1" applyAlignment="1" applyProtection="1">
      <alignment horizontal="center"/>
    </xf>
    <xf numFmtId="0" fontId="11" fillId="0" borderId="17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2" fontId="22" fillId="0" borderId="19" xfId="0" applyNumberFormat="1" applyFont="1" applyBorder="1" applyAlignment="1">
      <alignment horizontal="left"/>
    </xf>
    <xf numFmtId="2" fontId="22" fillId="0" borderId="23" xfId="0" applyNumberFormat="1" applyFont="1" applyBorder="1" applyAlignment="1">
      <alignment horizontal="left"/>
    </xf>
    <xf numFmtId="2" fontId="22" fillId="0" borderId="37" xfId="0" applyNumberFormat="1" applyFont="1" applyBorder="1" applyAlignment="1">
      <alignment horizontal="left"/>
    </xf>
    <xf numFmtId="2" fontId="22" fillId="0" borderId="20" xfId="0" applyNumberFormat="1" applyFont="1" applyBorder="1" applyAlignment="1">
      <alignment horizontal="left"/>
    </xf>
    <xf numFmtId="2" fontId="22" fillId="0" borderId="0" xfId="0" applyNumberFormat="1" applyFont="1" applyBorder="1" applyAlignment="1">
      <alignment horizontal="left"/>
    </xf>
    <xf numFmtId="2" fontId="22" fillId="0" borderId="8" xfId="0" applyNumberFormat="1" applyFont="1" applyBorder="1" applyAlignment="1">
      <alignment horizontal="left"/>
    </xf>
    <xf numFmtId="164" fontId="2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3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37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4" borderId="0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49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25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164" fontId="2" fillId="0" borderId="48" xfId="0" applyNumberFormat="1" applyFont="1" applyBorder="1" applyAlignment="1">
      <alignment horizontal="center"/>
    </xf>
    <xf numFmtId="164" fontId="2" fillId="0" borderId="49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40" xfId="0" applyNumberFormat="1" applyFont="1" applyBorder="1" applyAlignment="1">
      <alignment horizontal="center"/>
    </xf>
    <xf numFmtId="0" fontId="2" fillId="4" borderId="2" xfId="0" applyFont="1" applyFill="1" applyBorder="1" applyAlignment="1" applyProtection="1">
      <alignment horizontal="left"/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2" fontId="2" fillId="0" borderId="49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4" borderId="23" xfId="0" applyNumberFormat="1" applyFont="1" applyFill="1" applyBorder="1" applyAlignment="1" applyProtection="1">
      <alignment horizontal="center"/>
      <protection locked="0"/>
    </xf>
    <xf numFmtId="164" fontId="2" fillId="0" borderId="23" xfId="0" applyNumberFormat="1" applyFont="1" applyBorder="1" applyAlignment="1" applyProtection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2" fillId="0" borderId="49" xfId="0" applyNumberFormat="1" applyFont="1" applyBorder="1" applyAlignment="1">
      <alignment horizontal="center"/>
    </xf>
    <xf numFmtId="49" fontId="2" fillId="0" borderId="64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" fillId="4" borderId="19" xfId="0" applyFont="1" applyFill="1" applyBorder="1" applyAlignment="1" applyProtection="1">
      <alignment horizontal="center"/>
      <protection locked="0"/>
    </xf>
    <xf numFmtId="0" fontId="2" fillId="4" borderId="24" xfId="0" applyFont="1" applyFill="1" applyBorder="1" applyAlignment="1" applyProtection="1">
      <alignment horizontal="center"/>
      <protection locked="0"/>
    </xf>
    <xf numFmtId="0" fontId="2" fillId="4" borderId="20" xfId="0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4" borderId="25" xfId="0" applyFont="1" applyFill="1" applyBorder="1" applyAlignment="1" applyProtection="1">
      <alignment horizontal="center"/>
      <protection locked="0"/>
    </xf>
    <xf numFmtId="164" fontId="2" fillId="0" borderId="2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164" fontId="2" fillId="0" borderId="37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2" fillId="4" borderId="37" xfId="0" applyNumberFormat="1" applyFont="1" applyFill="1" applyBorder="1" applyAlignment="1" applyProtection="1">
      <alignment horizontal="center"/>
      <protection locked="0"/>
    </xf>
    <xf numFmtId="164" fontId="2" fillId="4" borderId="12" xfId="0" applyNumberFormat="1" applyFont="1" applyFill="1" applyBorder="1" applyAlignment="1" applyProtection="1">
      <alignment horizontal="center"/>
      <protection locked="0"/>
    </xf>
    <xf numFmtId="164" fontId="2" fillId="4" borderId="8" xfId="0" applyNumberFormat="1" applyFont="1" applyFill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/>
    </xf>
    <xf numFmtId="0" fontId="2" fillId="0" borderId="37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164" fontId="2" fillId="0" borderId="39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4" borderId="17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22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4" borderId="37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/>
      <protection locked="0"/>
    </xf>
    <xf numFmtId="164" fontId="2" fillId="0" borderId="8" xfId="0" applyNumberFormat="1" applyFont="1" applyBorder="1" applyAlignment="1" applyProtection="1">
      <alignment horizontal="center"/>
    </xf>
    <xf numFmtId="164" fontId="2" fillId="0" borderId="12" xfId="0" applyNumberFormat="1" applyFont="1" applyBorder="1" applyAlignment="1" applyProtection="1">
      <alignment horizontal="center"/>
    </xf>
    <xf numFmtId="0" fontId="2" fillId="0" borderId="2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9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44" fontId="2" fillId="0" borderId="0" xfId="1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12" xfId="0" applyFont="1" applyBorder="1" applyAlignment="1">
      <alignment horizontal="center" vertical="center"/>
    </xf>
    <xf numFmtId="164" fontId="2" fillId="0" borderId="52" xfId="0" applyNumberFormat="1" applyFont="1" applyBorder="1" applyAlignment="1">
      <alignment horizontal="center" vertical="center"/>
    </xf>
    <xf numFmtId="164" fontId="2" fillId="0" borderId="55" xfId="0" applyNumberFormat="1" applyFont="1" applyBorder="1" applyAlignment="1">
      <alignment horizontal="center" vertical="center"/>
    </xf>
    <xf numFmtId="164" fontId="2" fillId="0" borderId="47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4" fontId="2" fillId="4" borderId="0" xfId="1" applyFont="1" applyFill="1" applyBorder="1" applyAlignment="1" applyProtection="1">
      <alignment horizontal="center"/>
      <protection locked="0"/>
    </xf>
    <xf numFmtId="44" fontId="2" fillId="4" borderId="2" xfId="1" applyFont="1" applyFill="1" applyBorder="1" applyAlignment="1" applyProtection="1">
      <alignment horizontal="center"/>
      <protection locked="0"/>
    </xf>
    <xf numFmtId="0" fontId="2" fillId="0" borderId="39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39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2" fontId="2" fillId="0" borderId="39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64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4" borderId="12" xfId="0" applyFill="1" applyBorder="1" applyAlignment="1" applyProtection="1">
      <alignment horizontal="center"/>
      <protection locked="0"/>
    </xf>
    <xf numFmtId="0" fontId="0" fillId="0" borderId="48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64" xfId="0" applyBorder="1" applyAlignment="1">
      <alignment horizontal="left"/>
    </xf>
    <xf numFmtId="0" fontId="0" fillId="4" borderId="54" xfId="0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5" fillId="0" borderId="3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4" borderId="37" xfId="0" applyFill="1" applyBorder="1" applyAlignment="1" applyProtection="1">
      <alignment horizontal="center"/>
      <protection locked="0"/>
    </xf>
    <xf numFmtId="0" fontId="0" fillId="0" borderId="50" xfId="0" applyBorder="1" applyAlignment="1">
      <alignment horizontal="left"/>
    </xf>
    <xf numFmtId="0" fontId="0" fillId="0" borderId="51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23" xfId="0" applyBorder="1" applyAlignment="1">
      <alignment horizontal="left"/>
    </xf>
    <xf numFmtId="0" fontId="5" fillId="0" borderId="7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0" fillId="0" borderId="3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65" xfId="0" applyBorder="1" applyAlignment="1">
      <alignment horizontal="left"/>
    </xf>
    <xf numFmtId="0" fontId="0" fillId="4" borderId="53" xfId="0" applyFill="1" applyBorder="1" applyAlignment="1" applyProtection="1">
      <alignment horizontal="center"/>
      <protection locked="0"/>
    </xf>
    <xf numFmtId="0" fontId="0" fillId="0" borderId="39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66" xfId="0" applyBorder="1" applyAlignment="1">
      <alignment horizontal="left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0" fillId="0" borderId="16" xfId="0" applyBorder="1" applyAlignment="1">
      <alignment horizontal="left"/>
    </xf>
    <xf numFmtId="0" fontId="0" fillId="0" borderId="24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7" xfId="0" applyFill="1" applyBorder="1" applyAlignment="1" applyProtection="1">
      <alignment horizontal="center"/>
      <protection locked="0"/>
    </xf>
    <xf numFmtId="0" fontId="0" fillId="4" borderId="52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47" xfId="0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4" borderId="14" xfId="0" applyFill="1" applyBorder="1" applyAlignment="1">
      <alignment horizontal="center"/>
    </xf>
    <xf numFmtId="0" fontId="0" fillId="4" borderId="40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chartsheet" Target="chartsheets/sheet6.xml"/><Relationship Id="rId18" Type="http://schemas.openxmlformats.org/officeDocument/2006/relationships/customXml" Target="../customXml/item1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styles" Target="styles.xml"/><Relationship Id="rId10" Type="http://schemas.openxmlformats.org/officeDocument/2006/relationships/worksheet" Target="worksheets/sheet6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chartsheet" Target="chartsheets/sheet4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Points</c:v>
          </c:tx>
          <c:spPr>
            <a:ln w="28575">
              <a:noFill/>
            </a:ln>
          </c:spPr>
          <c:xVal>
            <c:numRef>
              <c:f>'D&amp;M Meth B Comp'!$A$2:$C$2</c:f>
              <c:numCache>
                <c:formatCode>General</c:formatCode>
                <c:ptCount val="3"/>
                <c:pt idx="0">
                  <c:v>15.2</c:v>
                </c:pt>
                <c:pt idx="1">
                  <c:v>13</c:v>
                </c:pt>
                <c:pt idx="2">
                  <c:v>18.600000000000001</c:v>
                </c:pt>
              </c:numCache>
            </c:numRef>
          </c:xVal>
          <c:yVal>
            <c:numRef>
              <c:f>'D&amp;M Meth B Comp'!$A$3:$C$3</c:f>
              <c:numCache>
                <c:formatCode>General</c:formatCode>
                <c:ptCount val="3"/>
                <c:pt idx="0">
                  <c:v>109.1</c:v>
                </c:pt>
                <c:pt idx="1">
                  <c:v>106.5</c:v>
                </c:pt>
                <c:pt idx="2">
                  <c:v>106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17-4C50-ABDC-8A6D8DF7214D}"/>
            </c:ext>
          </c:extLst>
        </c:ser>
        <c:ser>
          <c:idx val="1"/>
          <c:order val="1"/>
          <c:tx>
            <c:v>Dry Side</c:v>
          </c:tx>
          <c:spPr>
            <a:ln w="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'D&amp;M Meth B Comp'!$A$11:$A$55</c:f>
              <c:numCache>
                <c:formatCode>General</c:formatCode>
                <c:ptCount val="45"/>
                <c:pt idx="0">
                  <c:v>13.2</c:v>
                </c:pt>
                <c:pt idx="1">
                  <c:v>13.399999999999999</c:v>
                </c:pt>
                <c:pt idx="2">
                  <c:v>13.599999999999998</c:v>
                </c:pt>
                <c:pt idx="3">
                  <c:v>13.799999999999997</c:v>
                </c:pt>
                <c:pt idx="4">
                  <c:v>13.999999999999996</c:v>
                </c:pt>
                <c:pt idx="5">
                  <c:v>14.199999999999996</c:v>
                </c:pt>
                <c:pt idx="6">
                  <c:v>14.399999999999995</c:v>
                </c:pt>
                <c:pt idx="7">
                  <c:v>14.599999999999994</c:v>
                </c:pt>
                <c:pt idx="8">
                  <c:v>14.799999999999994</c:v>
                </c:pt>
                <c:pt idx="9">
                  <c:v>14.999999999999993</c:v>
                </c:pt>
                <c:pt idx="10">
                  <c:v>15.199999999999992</c:v>
                </c:pt>
                <c:pt idx="11">
                  <c:v>15.399999999999991</c:v>
                </c:pt>
                <c:pt idx="12">
                  <c:v>15.599999999999991</c:v>
                </c:pt>
                <c:pt idx="13">
                  <c:v>15.79999999999999</c:v>
                </c:pt>
                <c:pt idx="14">
                  <c:v>15.999999999999989</c:v>
                </c:pt>
                <c:pt idx="15">
                  <c:v>16.199999999999989</c:v>
                </c:pt>
                <c:pt idx="16">
                  <c:v>16.399999999999988</c:v>
                </c:pt>
                <c:pt idx="17">
                  <c:v>16.599999999999987</c:v>
                </c:pt>
                <c:pt idx="18">
                  <c:v>16.799999999999986</c:v>
                </c:pt>
                <c:pt idx="19">
                  <c:v>16.999999999999986</c:v>
                </c:pt>
                <c:pt idx="20">
                  <c:v>17.199999999999985</c:v>
                </c:pt>
                <c:pt idx="21">
                  <c:v>17.399999999999984</c:v>
                </c:pt>
                <c:pt idx="22">
                  <c:v>17.599999999999984</c:v>
                </c:pt>
                <c:pt idx="23">
                  <c:v>17.799999999999983</c:v>
                </c:pt>
                <c:pt idx="24">
                  <c:v>17.999999999999982</c:v>
                </c:pt>
                <c:pt idx="25">
                  <c:v>18.199999999999982</c:v>
                </c:pt>
                <c:pt idx="26">
                  <c:v>18.399999999999981</c:v>
                </c:pt>
                <c:pt idx="27">
                  <c:v>18.59999999999998</c:v>
                </c:pt>
                <c:pt idx="28">
                  <c:v>18.799999999999979</c:v>
                </c:pt>
                <c:pt idx="29">
                  <c:v>18.999999999999979</c:v>
                </c:pt>
                <c:pt idx="30">
                  <c:v>19.199999999999978</c:v>
                </c:pt>
                <c:pt idx="31">
                  <c:v>19.399999999999977</c:v>
                </c:pt>
                <c:pt idx="32">
                  <c:v>19.599999999999977</c:v>
                </c:pt>
                <c:pt idx="33">
                  <c:v>19.799999999999976</c:v>
                </c:pt>
                <c:pt idx="34">
                  <c:v>19.999999999999975</c:v>
                </c:pt>
                <c:pt idx="35">
                  <c:v>20.199999999999974</c:v>
                </c:pt>
                <c:pt idx="36">
                  <c:v>20.399999999999974</c:v>
                </c:pt>
                <c:pt idx="37">
                  <c:v>20.599999999999973</c:v>
                </c:pt>
                <c:pt idx="38">
                  <c:v>20.799999999999972</c:v>
                </c:pt>
                <c:pt idx="39">
                  <c:v>20.999999999999972</c:v>
                </c:pt>
                <c:pt idx="40">
                  <c:v>21.199999999999971</c:v>
                </c:pt>
                <c:pt idx="41">
                  <c:v>21.39999999999997</c:v>
                </c:pt>
                <c:pt idx="42">
                  <c:v>21.599999999999969</c:v>
                </c:pt>
                <c:pt idx="43">
                  <c:v>21.799999999999969</c:v>
                </c:pt>
                <c:pt idx="44">
                  <c:v>21.999999999999968</c:v>
                </c:pt>
              </c:numCache>
            </c:numRef>
          </c:xVal>
          <c:yVal>
            <c:numRef>
              <c:f>'D&amp;M Meth B Comp'!$B$11:$B$70</c:f>
              <c:numCache>
                <c:formatCode>General</c:formatCode>
                <c:ptCount val="60"/>
                <c:pt idx="0">
                  <c:v>106.73636363636363</c:v>
                </c:pt>
                <c:pt idx="1">
                  <c:v>106.97272727272727</c:v>
                </c:pt>
                <c:pt idx="2">
                  <c:v>107.2090909090909</c:v>
                </c:pt>
                <c:pt idx="3">
                  <c:v>107.44545454545454</c:v>
                </c:pt>
                <c:pt idx="4">
                  <c:v>107.68181818181817</c:v>
                </c:pt>
                <c:pt idx="5">
                  <c:v>107.91818181818181</c:v>
                </c:pt>
                <c:pt idx="6">
                  <c:v>108.15454545454544</c:v>
                </c:pt>
                <c:pt idx="7">
                  <c:v>108.39090909090908</c:v>
                </c:pt>
                <c:pt idx="8">
                  <c:v>108.62727272727273</c:v>
                </c:pt>
                <c:pt idx="9">
                  <c:v>108.86363636363635</c:v>
                </c:pt>
                <c:pt idx="10">
                  <c:v>109.1</c:v>
                </c:pt>
                <c:pt idx="11">
                  <c:v>109.33636363636361</c:v>
                </c:pt>
                <c:pt idx="12">
                  <c:v>109.57272727272726</c:v>
                </c:pt>
                <c:pt idx="13">
                  <c:v>109.80909090909088</c:v>
                </c:pt>
                <c:pt idx="14">
                  <c:v>110.04545454545453</c:v>
                </c:pt>
                <c:pt idx="15">
                  <c:v>110.28181818181817</c:v>
                </c:pt>
                <c:pt idx="16">
                  <c:v>110.5181818181818</c:v>
                </c:pt>
                <c:pt idx="17">
                  <c:v>110.75454545454544</c:v>
                </c:pt>
                <c:pt idx="18">
                  <c:v>110.99090909090907</c:v>
                </c:pt>
                <c:pt idx="19">
                  <c:v>111.22727272727271</c:v>
                </c:pt>
                <c:pt idx="20">
                  <c:v>111.46363636363634</c:v>
                </c:pt>
                <c:pt idx="21">
                  <c:v>111.69999999999997</c:v>
                </c:pt>
                <c:pt idx="22">
                  <c:v>111.93636363636361</c:v>
                </c:pt>
                <c:pt idx="23">
                  <c:v>112.17272727272724</c:v>
                </c:pt>
                <c:pt idx="24">
                  <c:v>112.40909090909088</c:v>
                </c:pt>
                <c:pt idx="25">
                  <c:v>112.64545454545451</c:v>
                </c:pt>
                <c:pt idx="26">
                  <c:v>112.88181818181815</c:v>
                </c:pt>
                <c:pt idx="27">
                  <c:v>113.11818181818178</c:v>
                </c:pt>
                <c:pt idx="28">
                  <c:v>113.35454545454542</c:v>
                </c:pt>
                <c:pt idx="29">
                  <c:v>113.59090909090905</c:v>
                </c:pt>
                <c:pt idx="30">
                  <c:v>113.82727272727269</c:v>
                </c:pt>
                <c:pt idx="31">
                  <c:v>114.06363636363632</c:v>
                </c:pt>
                <c:pt idx="32">
                  <c:v>114.29999999999995</c:v>
                </c:pt>
                <c:pt idx="33">
                  <c:v>114.53636363636359</c:v>
                </c:pt>
                <c:pt idx="34">
                  <c:v>114.77272727272722</c:v>
                </c:pt>
                <c:pt idx="35">
                  <c:v>115.00909090909086</c:v>
                </c:pt>
                <c:pt idx="36">
                  <c:v>115.24545454545449</c:v>
                </c:pt>
                <c:pt idx="37">
                  <c:v>115.48181818181814</c:v>
                </c:pt>
                <c:pt idx="38">
                  <c:v>115.71818181818176</c:v>
                </c:pt>
                <c:pt idx="39">
                  <c:v>115.95454545454541</c:v>
                </c:pt>
                <c:pt idx="40">
                  <c:v>116.19090909090903</c:v>
                </c:pt>
                <c:pt idx="41">
                  <c:v>116.42727272727268</c:v>
                </c:pt>
                <c:pt idx="42">
                  <c:v>116.6636363636363</c:v>
                </c:pt>
                <c:pt idx="43">
                  <c:v>116.89999999999995</c:v>
                </c:pt>
                <c:pt idx="44">
                  <c:v>117.13636363636358</c:v>
                </c:pt>
                <c:pt idx="45">
                  <c:v>117.37272727272722</c:v>
                </c:pt>
                <c:pt idx="46">
                  <c:v>117.60909090909085</c:v>
                </c:pt>
                <c:pt idx="47">
                  <c:v>117.84545454545449</c:v>
                </c:pt>
                <c:pt idx="48">
                  <c:v>118.08181818181812</c:v>
                </c:pt>
                <c:pt idx="49">
                  <c:v>118.31818181818176</c:v>
                </c:pt>
                <c:pt idx="50">
                  <c:v>118.55454545454539</c:v>
                </c:pt>
                <c:pt idx="51">
                  <c:v>118.79090909090903</c:v>
                </c:pt>
                <c:pt idx="52">
                  <c:v>119.02727272727266</c:v>
                </c:pt>
                <c:pt idx="53">
                  <c:v>119.26363636363629</c:v>
                </c:pt>
                <c:pt idx="54">
                  <c:v>119.49999999999993</c:v>
                </c:pt>
                <c:pt idx="55">
                  <c:v>119.73636363636356</c:v>
                </c:pt>
                <c:pt idx="56">
                  <c:v>119.9727272727272</c:v>
                </c:pt>
                <c:pt idx="57">
                  <c:v>120.20909090909083</c:v>
                </c:pt>
                <c:pt idx="58">
                  <c:v>120.44545454545447</c:v>
                </c:pt>
                <c:pt idx="59">
                  <c:v>120.6818181818181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17-4C50-ABDC-8A6D8DF7214D}"/>
            </c:ext>
          </c:extLst>
        </c:ser>
        <c:ser>
          <c:idx val="2"/>
          <c:order val="2"/>
          <c:tx>
            <c:v>Wet Side</c:v>
          </c:tx>
          <c:spPr>
            <a:ln w="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'D&amp;M Meth B Comp'!$A$11:$A$70</c:f>
              <c:numCache>
                <c:formatCode>General</c:formatCode>
                <c:ptCount val="60"/>
                <c:pt idx="0">
                  <c:v>13.2</c:v>
                </c:pt>
                <c:pt idx="1">
                  <c:v>13.399999999999999</c:v>
                </c:pt>
                <c:pt idx="2">
                  <c:v>13.599999999999998</c:v>
                </c:pt>
                <c:pt idx="3">
                  <c:v>13.799999999999997</c:v>
                </c:pt>
                <c:pt idx="4">
                  <c:v>13.999999999999996</c:v>
                </c:pt>
                <c:pt idx="5">
                  <c:v>14.199999999999996</c:v>
                </c:pt>
                <c:pt idx="6">
                  <c:v>14.399999999999995</c:v>
                </c:pt>
                <c:pt idx="7">
                  <c:v>14.599999999999994</c:v>
                </c:pt>
                <c:pt idx="8">
                  <c:v>14.799999999999994</c:v>
                </c:pt>
                <c:pt idx="9">
                  <c:v>14.999999999999993</c:v>
                </c:pt>
                <c:pt idx="10">
                  <c:v>15.199999999999992</c:v>
                </c:pt>
                <c:pt idx="11">
                  <c:v>15.399999999999991</c:v>
                </c:pt>
                <c:pt idx="12">
                  <c:v>15.599999999999991</c:v>
                </c:pt>
                <c:pt idx="13">
                  <c:v>15.79999999999999</c:v>
                </c:pt>
                <c:pt idx="14">
                  <c:v>15.999999999999989</c:v>
                </c:pt>
                <c:pt idx="15">
                  <c:v>16.199999999999989</c:v>
                </c:pt>
                <c:pt idx="16">
                  <c:v>16.399999999999988</c:v>
                </c:pt>
                <c:pt idx="17">
                  <c:v>16.599999999999987</c:v>
                </c:pt>
                <c:pt idx="18">
                  <c:v>16.799999999999986</c:v>
                </c:pt>
                <c:pt idx="19">
                  <c:v>16.999999999999986</c:v>
                </c:pt>
                <c:pt idx="20">
                  <c:v>17.199999999999985</c:v>
                </c:pt>
                <c:pt idx="21">
                  <c:v>17.399999999999984</c:v>
                </c:pt>
                <c:pt idx="22">
                  <c:v>17.599999999999984</c:v>
                </c:pt>
                <c:pt idx="23">
                  <c:v>17.799999999999983</c:v>
                </c:pt>
                <c:pt idx="24">
                  <c:v>17.999999999999982</c:v>
                </c:pt>
                <c:pt idx="25">
                  <c:v>18.199999999999982</c:v>
                </c:pt>
                <c:pt idx="26">
                  <c:v>18.399999999999981</c:v>
                </c:pt>
                <c:pt idx="27">
                  <c:v>18.59999999999998</c:v>
                </c:pt>
                <c:pt idx="28">
                  <c:v>18.799999999999979</c:v>
                </c:pt>
                <c:pt idx="29">
                  <c:v>18.999999999999979</c:v>
                </c:pt>
                <c:pt idx="30">
                  <c:v>19.199999999999978</c:v>
                </c:pt>
                <c:pt idx="31">
                  <c:v>19.399999999999977</c:v>
                </c:pt>
                <c:pt idx="32">
                  <c:v>19.599999999999977</c:v>
                </c:pt>
                <c:pt idx="33">
                  <c:v>19.799999999999976</c:v>
                </c:pt>
                <c:pt idx="34">
                  <c:v>19.999999999999975</c:v>
                </c:pt>
                <c:pt idx="35">
                  <c:v>20.199999999999974</c:v>
                </c:pt>
                <c:pt idx="36">
                  <c:v>20.399999999999974</c:v>
                </c:pt>
                <c:pt idx="37">
                  <c:v>20.599999999999973</c:v>
                </c:pt>
                <c:pt idx="38">
                  <c:v>20.799999999999972</c:v>
                </c:pt>
                <c:pt idx="39">
                  <c:v>20.999999999999972</c:v>
                </c:pt>
                <c:pt idx="40">
                  <c:v>21.199999999999971</c:v>
                </c:pt>
                <c:pt idx="41">
                  <c:v>21.39999999999997</c:v>
                </c:pt>
                <c:pt idx="42">
                  <c:v>21.599999999999969</c:v>
                </c:pt>
                <c:pt idx="43">
                  <c:v>21.799999999999969</c:v>
                </c:pt>
                <c:pt idx="44">
                  <c:v>21.999999999999968</c:v>
                </c:pt>
                <c:pt idx="45">
                  <c:v>22.199999999999967</c:v>
                </c:pt>
                <c:pt idx="46">
                  <c:v>22.399999999999967</c:v>
                </c:pt>
                <c:pt idx="47">
                  <c:v>22.599999999999966</c:v>
                </c:pt>
                <c:pt idx="48">
                  <c:v>22.799999999999965</c:v>
                </c:pt>
                <c:pt idx="49">
                  <c:v>22.999999999999964</c:v>
                </c:pt>
                <c:pt idx="50">
                  <c:v>23.199999999999964</c:v>
                </c:pt>
                <c:pt idx="51">
                  <c:v>23.399999999999963</c:v>
                </c:pt>
                <c:pt idx="52">
                  <c:v>23.599999999999962</c:v>
                </c:pt>
                <c:pt idx="53">
                  <c:v>23.799999999999962</c:v>
                </c:pt>
                <c:pt idx="54">
                  <c:v>23.999999999999961</c:v>
                </c:pt>
                <c:pt idx="55">
                  <c:v>24.19999999999996</c:v>
                </c:pt>
                <c:pt idx="56">
                  <c:v>24.399999999999959</c:v>
                </c:pt>
                <c:pt idx="57">
                  <c:v>24.599999999999959</c:v>
                </c:pt>
                <c:pt idx="58">
                  <c:v>24.799999999999958</c:v>
                </c:pt>
                <c:pt idx="59">
                  <c:v>24.999999999999957</c:v>
                </c:pt>
              </c:numCache>
            </c:numRef>
          </c:xVal>
          <c:yVal>
            <c:numRef>
              <c:f>'D&amp;M Meth B Comp'!$C$11:$C$70</c:f>
              <c:numCache>
                <c:formatCode>General</c:formatCode>
                <c:ptCount val="60"/>
                <c:pt idx="0">
                  <c:v>116.70548380266779</c:v>
                </c:pt>
                <c:pt idx="1">
                  <c:v>116.27056672760513</c:v>
                </c:pt>
                <c:pt idx="2">
                  <c:v>115.83887915936953</c:v>
                </c:pt>
                <c:pt idx="3">
                  <c:v>115.4103852596315</c:v>
                </c:pt>
                <c:pt idx="4">
                  <c:v>114.98504971837841</c:v>
                </c:pt>
                <c:pt idx="5">
                  <c:v>114.56283774421506</c:v>
                </c:pt>
                <c:pt idx="6">
                  <c:v>114.14371505487679</c:v>
                </c:pt>
                <c:pt idx="7">
                  <c:v>113.72764786795048</c:v>
                </c:pt>
                <c:pt idx="8">
                  <c:v>113.31460289179743</c:v>
                </c:pt>
                <c:pt idx="9">
                  <c:v>112.90454731667351</c:v>
                </c:pt>
                <c:pt idx="10">
                  <c:v>112.49744880604125</c:v>
                </c:pt>
                <c:pt idx="11">
                  <c:v>112.09327548806942</c:v>
                </c:pt>
                <c:pt idx="12">
                  <c:v>111.69199594731511</c:v>
                </c:pt>
                <c:pt idx="13">
                  <c:v>111.29357921658368</c:v>
                </c:pt>
                <c:pt idx="14">
                  <c:v>110.89799476896253</c:v>
                </c:pt>
                <c:pt idx="15">
                  <c:v>110.50521251002408</c:v>
                </c:pt>
                <c:pt idx="16">
                  <c:v>110.11520277019379</c:v>
                </c:pt>
                <c:pt idx="17">
                  <c:v>109.7279362972794</c:v>
                </c:pt>
                <c:pt idx="18">
                  <c:v>109.34338424915694</c:v>
                </c:pt>
                <c:pt idx="19">
                  <c:v>108.96151818661046</c:v>
                </c:pt>
                <c:pt idx="20">
                  <c:v>108.58231006632084</c:v>
                </c:pt>
                <c:pt idx="21">
                  <c:v>108.20573223400082</c:v>
                </c:pt>
                <c:pt idx="22">
                  <c:v>107.83175741767202</c:v>
                </c:pt>
                <c:pt idx="23">
                  <c:v>107.46035872108139</c:v>
                </c:pt>
                <c:pt idx="24">
                  <c:v>107.09150961725278</c:v>
                </c:pt>
                <c:pt idx="25">
                  <c:v>106.7251839421712</c:v>
                </c:pt>
                <c:pt idx="26">
                  <c:v>106.36135588859591</c:v>
                </c:pt>
                <c:pt idx="27">
                  <c:v>106.00000000000003</c:v>
                </c:pt>
                <c:pt idx="28">
                  <c:v>105.641091164633</c:v>
                </c:pt>
                <c:pt idx="29">
                  <c:v>105.28460460970334</c:v>
                </c:pt>
                <c:pt idx="30">
                  <c:v>104.9305158956787</c:v>
                </c:pt>
                <c:pt idx="31">
                  <c:v>104.57880091070076</c:v>
                </c:pt>
                <c:pt idx="32">
                  <c:v>104.22943586511191</c:v>
                </c:pt>
                <c:pt idx="33">
                  <c:v>103.88239728609126</c:v>
                </c:pt>
                <c:pt idx="34">
                  <c:v>103.53766201239752</c:v>
                </c:pt>
                <c:pt idx="35">
                  <c:v>103.19520718921622</c:v>
                </c:pt>
                <c:pt idx="36">
                  <c:v>102.85501026310882</c:v>
                </c:pt>
                <c:pt idx="37">
                  <c:v>102.51704897706144</c:v>
                </c:pt>
                <c:pt idx="38">
                  <c:v>102.18130136563065</c:v>
                </c:pt>
                <c:pt idx="39">
                  <c:v>101.84774575018481</c:v>
                </c:pt>
                <c:pt idx="40">
                  <c:v>101.51636073423786</c:v>
                </c:pt>
                <c:pt idx="41">
                  <c:v>101.18712519887413</c:v>
                </c:pt>
                <c:pt idx="42">
                  <c:v>100.86001829826172</c:v>
                </c:pt>
                <c:pt idx="43">
                  <c:v>100.53501945525296</c:v>
                </c:pt>
                <c:pt idx="44">
                  <c:v>100.21210835706931</c:v>
                </c:pt>
                <c:pt idx="45">
                  <c:v>99.891264951069289</c:v>
                </c:pt>
                <c:pt idx="46">
                  <c:v>99.572469440597388</c:v>
                </c:pt>
                <c:pt idx="47">
                  <c:v>99.255702280912416</c:v>
                </c:pt>
                <c:pt idx="48">
                  <c:v>98.94094417519301</c:v>
                </c:pt>
                <c:pt idx="49">
                  <c:v>98.628176070619176</c:v>
                </c:pt>
                <c:pt idx="50">
                  <c:v>98.317379154527671</c:v>
                </c:pt>
                <c:pt idx="51">
                  <c:v>98.00853485064016</c:v>
                </c:pt>
                <c:pt idx="52">
                  <c:v>97.701624815361939</c:v>
                </c:pt>
                <c:pt idx="53">
                  <c:v>97.396630934150139</c:v>
                </c:pt>
                <c:pt idx="54">
                  <c:v>97.093535317949687</c:v>
                </c:pt>
                <c:pt idx="55">
                  <c:v>96.792320299695675</c:v>
                </c:pt>
                <c:pt idx="56">
                  <c:v>96.492968430880595</c:v>
                </c:pt>
                <c:pt idx="57">
                  <c:v>96.195462478185064</c:v>
                </c:pt>
                <c:pt idx="58">
                  <c:v>95.899785420170559</c:v>
                </c:pt>
                <c:pt idx="59">
                  <c:v>95.605920444033359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17-4C50-ABDC-8A6D8DF7214D}"/>
            </c:ext>
          </c:extLst>
        </c:ser>
        <c:ser>
          <c:idx val="3"/>
          <c:order val="3"/>
          <c:tx>
            <c:v>Opt Mc</c:v>
          </c:tx>
          <c:spPr>
            <a:ln w="28575">
              <a:noFill/>
            </a:ln>
          </c:spPr>
          <c:marker>
            <c:symbol val="circle"/>
            <c:size val="9"/>
            <c:spPr>
              <a:noFill/>
            </c:spPr>
          </c:marker>
          <c:xVal>
            <c:numRef>
              <c:f>'D&amp;M Meth B Comp'!$J$12</c:f>
              <c:numCache>
                <c:formatCode>General</c:formatCode>
                <c:ptCount val="1"/>
                <c:pt idx="0">
                  <c:v>16.271228435130876</c:v>
                </c:pt>
              </c:numCache>
            </c:numRef>
          </c:xVal>
          <c:yVal>
            <c:numRef>
              <c:f>'D&amp;M Meth B Comp'!$K$12</c:f>
              <c:numCache>
                <c:formatCode>General</c:formatCode>
                <c:ptCount val="1"/>
                <c:pt idx="0">
                  <c:v>109.92549873537791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17-4C50-ABDC-8A6D8DF7214D}"/>
            </c:ext>
          </c:extLst>
        </c:ser>
        <c:ser>
          <c:idx val="4"/>
          <c:order val="4"/>
          <c:tx>
            <c:v>Fitted</c:v>
          </c:tx>
          <c:spPr>
            <a:ln w="28575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[0]!Fit_x</c:f>
              <c:numCache>
                <c:formatCode>General</c:formatCode>
                <c:ptCount val="10"/>
                <c:pt idx="0">
                  <c:v>15.399999999999991</c:v>
                </c:pt>
                <c:pt idx="1">
                  <c:v>15.599999999999991</c:v>
                </c:pt>
                <c:pt idx="2">
                  <c:v>15.79999999999999</c:v>
                </c:pt>
                <c:pt idx="3">
                  <c:v>15.999999999999989</c:v>
                </c:pt>
                <c:pt idx="4">
                  <c:v>16.199999999999989</c:v>
                </c:pt>
                <c:pt idx="5">
                  <c:v>16.399999999999988</c:v>
                </c:pt>
                <c:pt idx="6">
                  <c:v>16.599999999999987</c:v>
                </c:pt>
                <c:pt idx="7">
                  <c:v>16.799999999999986</c:v>
                </c:pt>
                <c:pt idx="8">
                  <c:v>16.999999999999986</c:v>
                </c:pt>
                <c:pt idx="9">
                  <c:v>17.199999999999985</c:v>
                </c:pt>
              </c:numCache>
            </c:numRef>
          </c:xVal>
          <c:yVal>
            <c:numRef>
              <c:f>[0]!Fit_y</c:f>
              <c:numCache>
                <c:formatCode>General</c:formatCode>
                <c:ptCount val="10"/>
                <c:pt idx="0">
                  <c:v>109.4625378378114</c:v>
                </c:pt>
                <c:pt idx="1">
                  <c:v>109.66881600438501</c:v>
                </c:pt>
                <c:pt idx="2">
                  <c:v>109.82271527279227</c:v>
                </c:pt>
                <c:pt idx="3">
                  <c:v>109.91169898917724</c:v>
                </c:pt>
                <c:pt idx="4">
                  <c:v>109.92549873537791</c:v>
                </c:pt>
                <c:pt idx="5">
                  <c:v>109.85705044059432</c:v>
                </c:pt>
                <c:pt idx="6">
                  <c:v>109.70331909960078</c:v>
                </c:pt>
                <c:pt idx="7">
                  <c:v>109.46594962077506</c:v>
                </c:pt>
                <c:pt idx="8">
                  <c:v>109.1516723909881</c:v>
                </c:pt>
                <c:pt idx="9">
                  <c:v>108.77238261688035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417-4C50-ABDC-8A6D8DF72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076992"/>
        <c:axId val="147087360"/>
      </c:scatterChart>
      <c:valAx>
        <c:axId val="147076992"/>
        <c:scaling>
          <c:orientation val="minMax"/>
          <c:max val="30"/>
          <c:min val="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Moisture Content, %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7087360"/>
        <c:crosses val="autoZero"/>
        <c:crossBetween val="midCat"/>
        <c:majorUnit val="2"/>
        <c:minorUnit val="0.5"/>
      </c:valAx>
      <c:valAx>
        <c:axId val="147087360"/>
        <c:scaling>
          <c:orientation val="minMax"/>
          <c:max val="135"/>
          <c:min val="9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</a:rPr>
                  <a:t>Dry Density, lb/ft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</a:rPr>
                  <a:t>3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7076992"/>
        <c:crosses val="autoZero"/>
        <c:crossBetween val="midCat"/>
        <c:minorUnit val="0.5"/>
      </c:valAx>
    </c:plotArea>
    <c:legend>
      <c:legendPos val="r"/>
      <c:layout>
        <c:manualLayout>
          <c:xMode val="edge"/>
          <c:yMode val="edge"/>
          <c:x val="0.83655803111803473"/>
          <c:y val="2.5632391325876368E-2"/>
          <c:w val="0.13854491048433404"/>
          <c:h val="0.202516796314889"/>
        </c:manualLayout>
      </c:layout>
      <c:overlay val="1"/>
      <c:spPr>
        <a:solidFill>
          <a:schemeClr val="bg1"/>
        </a:solidFill>
        <a:ln w="15875">
          <a:solidFill>
            <a:schemeClr val="tx1"/>
          </a:solidFill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78453945034192E-2"/>
          <c:y val="2.2449537816744951E-2"/>
          <c:w val="0.65672328921135548"/>
          <c:h val="0.88401841663904301"/>
        </c:manualLayout>
      </c:layout>
      <c:scatterChart>
        <c:scatterStyle val="lineMarker"/>
        <c:varyColors val="0"/>
        <c:ser>
          <c:idx val="4"/>
          <c:order val="0"/>
          <c:tx>
            <c:v>WWD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[0]!MC_418</c:f>
              <c:numCache>
                <c:formatCode>General</c:formatCode>
                <c:ptCount val="5"/>
                <c:pt idx="0">
                  <c:v>10.8</c:v>
                </c:pt>
                <c:pt idx="1">
                  <c:v>12.8</c:v>
                </c:pt>
                <c:pt idx="2">
                  <c:v>15.2</c:v>
                </c:pt>
                <c:pt idx="3">
                  <c:v>16.8</c:v>
                </c:pt>
                <c:pt idx="4">
                  <c:v>18.8</c:v>
                </c:pt>
              </c:numCache>
            </c:numRef>
          </c:xVal>
          <c:yVal>
            <c:numRef>
              <c:f>[0]!WWD_418</c:f>
              <c:numCache>
                <c:formatCode>General</c:formatCode>
                <c:ptCount val="5"/>
                <c:pt idx="0">
                  <c:v>117</c:v>
                </c:pt>
                <c:pt idx="1">
                  <c:v>120.9</c:v>
                </c:pt>
                <c:pt idx="2">
                  <c:v>126</c:v>
                </c:pt>
                <c:pt idx="3">
                  <c:v>126.6</c:v>
                </c:pt>
                <c:pt idx="4">
                  <c:v>123.3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1D-424F-B184-647E0D747BF1}"/>
            </c:ext>
          </c:extLst>
        </c:ser>
        <c:ser>
          <c:idx val="0"/>
          <c:order val="1"/>
          <c:tx>
            <c:v>DWD</c:v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[0]!MC_418</c:f>
              <c:numCache>
                <c:formatCode>General</c:formatCode>
                <c:ptCount val="5"/>
                <c:pt idx="0">
                  <c:v>10.8</c:v>
                </c:pt>
                <c:pt idx="1">
                  <c:v>12.8</c:v>
                </c:pt>
                <c:pt idx="2">
                  <c:v>15.2</c:v>
                </c:pt>
                <c:pt idx="3">
                  <c:v>16.8</c:v>
                </c:pt>
                <c:pt idx="4">
                  <c:v>18.8</c:v>
                </c:pt>
              </c:numCache>
            </c:numRef>
          </c:xVal>
          <c:yVal>
            <c:numRef>
              <c:f>[0]!DWD_418</c:f>
              <c:numCache>
                <c:formatCode>General</c:formatCode>
                <c:ptCount val="5"/>
                <c:pt idx="0">
                  <c:v>105.6</c:v>
                </c:pt>
                <c:pt idx="1">
                  <c:v>107.2</c:v>
                </c:pt>
                <c:pt idx="2">
                  <c:v>109.4</c:v>
                </c:pt>
                <c:pt idx="3">
                  <c:v>108.4</c:v>
                </c:pt>
                <c:pt idx="4">
                  <c:v>103.8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1D-424F-B184-647E0D747BF1}"/>
            </c:ext>
          </c:extLst>
        </c:ser>
        <c:ser>
          <c:idx val="1"/>
          <c:order val="2"/>
          <c:tx>
            <c:v>WWD fit</c:v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[0]!WWD_MC</c:f>
              <c:numCache>
                <c:formatCode>General</c:formatCode>
                <c:ptCount val="82"/>
                <c:pt idx="0">
                  <c:v>10.8</c:v>
                </c:pt>
                <c:pt idx="1">
                  <c:v>10.9</c:v>
                </c:pt>
                <c:pt idx="2">
                  <c:v>11</c:v>
                </c:pt>
                <c:pt idx="3">
                  <c:v>11.1</c:v>
                </c:pt>
                <c:pt idx="4">
                  <c:v>11.2</c:v>
                </c:pt>
                <c:pt idx="5">
                  <c:v>11.299999999999999</c:v>
                </c:pt>
                <c:pt idx="6">
                  <c:v>11.399999999999999</c:v>
                </c:pt>
                <c:pt idx="7">
                  <c:v>11.499999999999998</c:v>
                </c:pt>
                <c:pt idx="8">
                  <c:v>11.599999999999998</c:v>
                </c:pt>
                <c:pt idx="9">
                  <c:v>11.699999999999998</c:v>
                </c:pt>
                <c:pt idx="10">
                  <c:v>11.799999999999997</c:v>
                </c:pt>
                <c:pt idx="11">
                  <c:v>11.899999999999997</c:v>
                </c:pt>
                <c:pt idx="12">
                  <c:v>11.999999999999996</c:v>
                </c:pt>
                <c:pt idx="13">
                  <c:v>12.099999999999996</c:v>
                </c:pt>
                <c:pt idx="14">
                  <c:v>12.199999999999996</c:v>
                </c:pt>
                <c:pt idx="15">
                  <c:v>12.299999999999995</c:v>
                </c:pt>
                <c:pt idx="16">
                  <c:v>12.399999999999995</c:v>
                </c:pt>
                <c:pt idx="17">
                  <c:v>12.499999999999995</c:v>
                </c:pt>
                <c:pt idx="18">
                  <c:v>12.599999999999994</c:v>
                </c:pt>
                <c:pt idx="19">
                  <c:v>12.699999999999994</c:v>
                </c:pt>
                <c:pt idx="20">
                  <c:v>12.799999999999994</c:v>
                </c:pt>
                <c:pt idx="21">
                  <c:v>12.899999999999993</c:v>
                </c:pt>
                <c:pt idx="22">
                  <c:v>12.999999999999993</c:v>
                </c:pt>
                <c:pt idx="23">
                  <c:v>13.099999999999993</c:v>
                </c:pt>
                <c:pt idx="24">
                  <c:v>13.199999999999992</c:v>
                </c:pt>
                <c:pt idx="25">
                  <c:v>13.299999999999992</c:v>
                </c:pt>
                <c:pt idx="26">
                  <c:v>13.399999999999991</c:v>
                </c:pt>
                <c:pt idx="27">
                  <c:v>13.499999999999991</c:v>
                </c:pt>
                <c:pt idx="28">
                  <c:v>13.599999999999991</c:v>
                </c:pt>
                <c:pt idx="29">
                  <c:v>13.69999999999999</c:v>
                </c:pt>
                <c:pt idx="30">
                  <c:v>13.79999999999999</c:v>
                </c:pt>
                <c:pt idx="31">
                  <c:v>13.89999999999999</c:v>
                </c:pt>
                <c:pt idx="32">
                  <c:v>13.999999999999989</c:v>
                </c:pt>
                <c:pt idx="33">
                  <c:v>14.099999999999989</c:v>
                </c:pt>
                <c:pt idx="34">
                  <c:v>14.199999999999989</c:v>
                </c:pt>
                <c:pt idx="35">
                  <c:v>14.299999999999988</c:v>
                </c:pt>
                <c:pt idx="36">
                  <c:v>14.399999999999988</c:v>
                </c:pt>
                <c:pt idx="37">
                  <c:v>14.499999999999988</c:v>
                </c:pt>
                <c:pt idx="38">
                  <c:v>14.599999999999987</c:v>
                </c:pt>
                <c:pt idx="39">
                  <c:v>14.699999999999987</c:v>
                </c:pt>
                <c:pt idx="40">
                  <c:v>14.799999999999986</c:v>
                </c:pt>
                <c:pt idx="41">
                  <c:v>14.899999999999986</c:v>
                </c:pt>
                <c:pt idx="42">
                  <c:v>14.999999999999986</c:v>
                </c:pt>
                <c:pt idx="43">
                  <c:v>15.099999999999985</c:v>
                </c:pt>
                <c:pt idx="44">
                  <c:v>15.199999999999985</c:v>
                </c:pt>
                <c:pt idx="45">
                  <c:v>15.299999999999985</c:v>
                </c:pt>
                <c:pt idx="46">
                  <c:v>15.399999999999984</c:v>
                </c:pt>
                <c:pt idx="47">
                  <c:v>15.499999999999984</c:v>
                </c:pt>
                <c:pt idx="48">
                  <c:v>15.599999999999984</c:v>
                </c:pt>
                <c:pt idx="49">
                  <c:v>15.699999999999983</c:v>
                </c:pt>
                <c:pt idx="50">
                  <c:v>15.799999999999983</c:v>
                </c:pt>
                <c:pt idx="51">
                  <c:v>15.899999999999983</c:v>
                </c:pt>
                <c:pt idx="52">
                  <c:v>15.999999999999982</c:v>
                </c:pt>
                <c:pt idx="53">
                  <c:v>16.099999999999984</c:v>
                </c:pt>
                <c:pt idx="54">
                  <c:v>16.199999999999985</c:v>
                </c:pt>
                <c:pt idx="55">
                  <c:v>16.299999999999986</c:v>
                </c:pt>
                <c:pt idx="56">
                  <c:v>16.399999999999988</c:v>
                </c:pt>
                <c:pt idx="57">
                  <c:v>16.499999999999989</c:v>
                </c:pt>
                <c:pt idx="58">
                  <c:v>16.599999999999991</c:v>
                </c:pt>
                <c:pt idx="59">
                  <c:v>16.699999999999992</c:v>
                </c:pt>
                <c:pt idx="60">
                  <c:v>16.799999999999994</c:v>
                </c:pt>
                <c:pt idx="61">
                  <c:v>16.899999999999995</c:v>
                </c:pt>
                <c:pt idx="62">
                  <c:v>16.999999999999996</c:v>
                </c:pt>
                <c:pt idx="63">
                  <c:v>17.099999999999998</c:v>
                </c:pt>
                <c:pt idx="64">
                  <c:v>17.2</c:v>
                </c:pt>
                <c:pt idx="65">
                  <c:v>17.3</c:v>
                </c:pt>
                <c:pt idx="66">
                  <c:v>17.400000000000002</c:v>
                </c:pt>
                <c:pt idx="67">
                  <c:v>17.500000000000004</c:v>
                </c:pt>
                <c:pt idx="68">
                  <c:v>17.600000000000005</c:v>
                </c:pt>
                <c:pt idx="69">
                  <c:v>17.700000000000006</c:v>
                </c:pt>
                <c:pt idx="70">
                  <c:v>17.800000000000008</c:v>
                </c:pt>
                <c:pt idx="71">
                  <c:v>17.900000000000009</c:v>
                </c:pt>
                <c:pt idx="72">
                  <c:v>18.000000000000011</c:v>
                </c:pt>
                <c:pt idx="73">
                  <c:v>18.100000000000012</c:v>
                </c:pt>
                <c:pt idx="74">
                  <c:v>18.200000000000014</c:v>
                </c:pt>
                <c:pt idx="75">
                  <c:v>18.300000000000015</c:v>
                </c:pt>
                <c:pt idx="76">
                  <c:v>18.400000000000016</c:v>
                </c:pt>
                <c:pt idx="77">
                  <c:v>18.500000000000018</c:v>
                </c:pt>
                <c:pt idx="78">
                  <c:v>18.600000000000019</c:v>
                </c:pt>
                <c:pt idx="79">
                  <c:v>18.700000000000021</c:v>
                </c:pt>
                <c:pt idx="80">
                  <c:v>18.800000000000022</c:v>
                </c:pt>
                <c:pt idx="81">
                  <c:v>18.900000000000023</c:v>
                </c:pt>
              </c:numCache>
            </c:numRef>
          </c:xVal>
          <c:yVal>
            <c:numRef>
              <c:f>[0]!WWD_fit</c:f>
              <c:numCache>
                <c:formatCode>General</c:formatCode>
                <c:ptCount val="82"/>
                <c:pt idx="0">
                  <c:v>117</c:v>
                </c:pt>
                <c:pt idx="1">
                  <c:v>117.18744318181818</c:v>
                </c:pt>
                <c:pt idx="2">
                  <c:v>117.37568181818182</c:v>
                </c:pt>
                <c:pt idx="3">
                  <c:v>117.56471590909091</c:v>
                </c:pt>
                <c:pt idx="4">
                  <c:v>117.75454545454545</c:v>
                </c:pt>
                <c:pt idx="5">
                  <c:v>117.94517045454546</c:v>
                </c:pt>
                <c:pt idx="6">
                  <c:v>118.13659090909091</c:v>
                </c:pt>
                <c:pt idx="7">
                  <c:v>118.32880681818182</c:v>
                </c:pt>
                <c:pt idx="8">
                  <c:v>118.52181818181819</c:v>
                </c:pt>
                <c:pt idx="9">
                  <c:v>118.715625</c:v>
                </c:pt>
                <c:pt idx="10">
                  <c:v>118.91022727272727</c:v>
                </c:pt>
                <c:pt idx="11">
                  <c:v>119.105625</c:v>
                </c:pt>
                <c:pt idx="12">
                  <c:v>119.30181818181818</c:v>
                </c:pt>
                <c:pt idx="13">
                  <c:v>119.49880681818182</c:v>
                </c:pt>
                <c:pt idx="14">
                  <c:v>119.6965909090909</c:v>
                </c:pt>
                <c:pt idx="15">
                  <c:v>119.89517045454545</c:v>
                </c:pt>
                <c:pt idx="16">
                  <c:v>120.09454545454545</c:v>
                </c:pt>
                <c:pt idx="17">
                  <c:v>120.29471590909091</c:v>
                </c:pt>
                <c:pt idx="18">
                  <c:v>120.49568181818182</c:v>
                </c:pt>
                <c:pt idx="19">
                  <c:v>120.69744318181817</c:v>
                </c:pt>
                <c:pt idx="20">
                  <c:v>120.89999999999999</c:v>
                </c:pt>
                <c:pt idx="21">
                  <c:v>121.10335227272726</c:v>
                </c:pt>
                <c:pt idx="22">
                  <c:v>121.30749999999999</c:v>
                </c:pt>
                <c:pt idx="23">
                  <c:v>121.51244318181817</c:v>
                </c:pt>
                <c:pt idx="24">
                  <c:v>121.7181818181818</c:v>
                </c:pt>
                <c:pt idx="25">
                  <c:v>121.92471590909091</c:v>
                </c:pt>
                <c:pt idx="26">
                  <c:v>122.13204545454545</c:v>
                </c:pt>
                <c:pt idx="27">
                  <c:v>122.34017045454544</c:v>
                </c:pt>
                <c:pt idx="28">
                  <c:v>122.54909090909089</c:v>
                </c:pt>
                <c:pt idx="29">
                  <c:v>122.7588068181818</c:v>
                </c:pt>
                <c:pt idx="30">
                  <c:v>122.96931818181817</c:v>
                </c:pt>
                <c:pt idx="31">
                  <c:v>123.18062499999999</c:v>
                </c:pt>
                <c:pt idx="32">
                  <c:v>123.39272727272726</c:v>
                </c:pt>
                <c:pt idx="33">
                  <c:v>123.60562499999997</c:v>
                </c:pt>
                <c:pt idx="34">
                  <c:v>123.81931818181816</c:v>
                </c:pt>
                <c:pt idx="35">
                  <c:v>124.0338068181818</c:v>
                </c:pt>
                <c:pt idx="36">
                  <c:v>124.24909090909088</c:v>
                </c:pt>
                <c:pt idx="37">
                  <c:v>124.46517045454543</c:v>
                </c:pt>
                <c:pt idx="38">
                  <c:v>124.68204545454543</c:v>
                </c:pt>
                <c:pt idx="39">
                  <c:v>124.89971590909089</c:v>
                </c:pt>
                <c:pt idx="40">
                  <c:v>125.1181818181818</c:v>
                </c:pt>
                <c:pt idx="41">
                  <c:v>125.33744318181814</c:v>
                </c:pt>
                <c:pt idx="42">
                  <c:v>125.55749999999998</c:v>
                </c:pt>
                <c:pt idx="43">
                  <c:v>125.77835227272725</c:v>
                </c:pt>
                <c:pt idx="44">
                  <c:v>125.99999999999997</c:v>
                </c:pt>
                <c:pt idx="45">
                  <c:v>126.22244318181815</c:v>
                </c:pt>
                <c:pt idx="46">
                  <c:v>126.44568181818178</c:v>
                </c:pt>
                <c:pt idx="47">
                  <c:v>126.66971590909088</c:v>
                </c:pt>
                <c:pt idx="48">
                  <c:v>126.89681892760564</c:v>
                </c:pt>
                <c:pt idx="49">
                  <c:v>127.1031318284804</c:v>
                </c:pt>
                <c:pt idx="50">
                  <c:v>127.36922827421222</c:v>
                </c:pt>
                <c:pt idx="51">
                  <c:v>127.60225772776175</c:v>
                </c:pt>
                <c:pt idx="52">
                  <c:v>127.73946812318172</c:v>
                </c:pt>
                <c:pt idx="53">
                  <c:v>127.74985471402761</c:v>
                </c:pt>
                <c:pt idx="54">
                  <c:v>127.63583539484534</c:v>
                </c:pt>
                <c:pt idx="55">
                  <c:v>127.43495248735417</c:v>
                </c:pt>
                <c:pt idx="56">
                  <c:v>127.22160099947359</c:v>
                </c:pt>
                <c:pt idx="57">
                  <c:v>127.10878334112931</c:v>
                </c:pt>
                <c:pt idx="58">
                  <c:v>126.93000000000002</c:v>
                </c:pt>
                <c:pt idx="59">
                  <c:v>126.76500000000001</c:v>
                </c:pt>
                <c:pt idx="60">
                  <c:v>126.60000000000001</c:v>
                </c:pt>
                <c:pt idx="61">
                  <c:v>126.435</c:v>
                </c:pt>
                <c:pt idx="62">
                  <c:v>126.27000000000001</c:v>
                </c:pt>
                <c:pt idx="63">
                  <c:v>126.105</c:v>
                </c:pt>
                <c:pt idx="64">
                  <c:v>125.94</c:v>
                </c:pt>
                <c:pt idx="65">
                  <c:v>125.77500000000001</c:v>
                </c:pt>
                <c:pt idx="66">
                  <c:v>125.61</c:v>
                </c:pt>
                <c:pt idx="67">
                  <c:v>125.44499999999999</c:v>
                </c:pt>
                <c:pt idx="68">
                  <c:v>125.28</c:v>
                </c:pt>
                <c:pt idx="69">
                  <c:v>125.11499999999999</c:v>
                </c:pt>
                <c:pt idx="70">
                  <c:v>124.94999999999999</c:v>
                </c:pt>
                <c:pt idx="71">
                  <c:v>124.78499999999998</c:v>
                </c:pt>
                <c:pt idx="72">
                  <c:v>124.61999999999999</c:v>
                </c:pt>
                <c:pt idx="73">
                  <c:v>124.45499999999998</c:v>
                </c:pt>
                <c:pt idx="74">
                  <c:v>124.28999999999998</c:v>
                </c:pt>
                <c:pt idx="75">
                  <c:v>124.12499999999997</c:v>
                </c:pt>
                <c:pt idx="76">
                  <c:v>123.95999999999998</c:v>
                </c:pt>
                <c:pt idx="77">
                  <c:v>123.79499999999997</c:v>
                </c:pt>
                <c:pt idx="78">
                  <c:v>123.62999999999997</c:v>
                </c:pt>
                <c:pt idx="79">
                  <c:v>123.46499999999997</c:v>
                </c:pt>
                <c:pt idx="80">
                  <c:v>123.29999999999997</c:v>
                </c:pt>
                <c:pt idx="81">
                  <c:v>123.13499999999996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1D-424F-B184-647E0D747BF1}"/>
            </c:ext>
          </c:extLst>
        </c:ser>
        <c:ser>
          <c:idx val="2"/>
          <c:order val="3"/>
          <c:tx>
            <c:v>DWD fit</c:v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[0]!DWD_MC</c:f>
              <c:numCache>
                <c:formatCode>General</c:formatCode>
                <c:ptCount val="82"/>
                <c:pt idx="0">
                  <c:v>10.8</c:v>
                </c:pt>
                <c:pt idx="1">
                  <c:v>10.9</c:v>
                </c:pt>
                <c:pt idx="2">
                  <c:v>11</c:v>
                </c:pt>
                <c:pt idx="3">
                  <c:v>11.1</c:v>
                </c:pt>
                <c:pt idx="4">
                  <c:v>11.2</c:v>
                </c:pt>
                <c:pt idx="5">
                  <c:v>11.299999999999999</c:v>
                </c:pt>
                <c:pt idx="6">
                  <c:v>11.399999999999999</c:v>
                </c:pt>
                <c:pt idx="7">
                  <c:v>11.499999999999998</c:v>
                </c:pt>
                <c:pt idx="8">
                  <c:v>11.599999999999998</c:v>
                </c:pt>
                <c:pt idx="9">
                  <c:v>11.699999999999998</c:v>
                </c:pt>
                <c:pt idx="10">
                  <c:v>11.799999999999997</c:v>
                </c:pt>
                <c:pt idx="11">
                  <c:v>11.899999999999997</c:v>
                </c:pt>
                <c:pt idx="12">
                  <c:v>11.999999999999996</c:v>
                </c:pt>
                <c:pt idx="13">
                  <c:v>12.099999999999996</c:v>
                </c:pt>
                <c:pt idx="14">
                  <c:v>12.199999999999996</c:v>
                </c:pt>
                <c:pt idx="15">
                  <c:v>12.299999999999995</c:v>
                </c:pt>
                <c:pt idx="16">
                  <c:v>12.399999999999995</c:v>
                </c:pt>
                <c:pt idx="17">
                  <c:v>12.499999999999995</c:v>
                </c:pt>
                <c:pt idx="18">
                  <c:v>12.599999999999994</c:v>
                </c:pt>
                <c:pt idx="19">
                  <c:v>12.699999999999994</c:v>
                </c:pt>
                <c:pt idx="20">
                  <c:v>12.799999999999994</c:v>
                </c:pt>
                <c:pt idx="21">
                  <c:v>12.899999999999993</c:v>
                </c:pt>
                <c:pt idx="22">
                  <c:v>12.999999999999993</c:v>
                </c:pt>
                <c:pt idx="23">
                  <c:v>13.099999999999993</c:v>
                </c:pt>
                <c:pt idx="24">
                  <c:v>13.199999999999992</c:v>
                </c:pt>
                <c:pt idx="25">
                  <c:v>13.299999999999992</c:v>
                </c:pt>
                <c:pt idx="26">
                  <c:v>13.399999999999991</c:v>
                </c:pt>
                <c:pt idx="27">
                  <c:v>13.499999999999991</c:v>
                </c:pt>
                <c:pt idx="28">
                  <c:v>13.599999999999991</c:v>
                </c:pt>
                <c:pt idx="29">
                  <c:v>13.69999999999999</c:v>
                </c:pt>
                <c:pt idx="30">
                  <c:v>13.79999999999999</c:v>
                </c:pt>
                <c:pt idx="31">
                  <c:v>13.89999999999999</c:v>
                </c:pt>
                <c:pt idx="32">
                  <c:v>13.999999999999989</c:v>
                </c:pt>
                <c:pt idx="33">
                  <c:v>14.099999999999989</c:v>
                </c:pt>
                <c:pt idx="34">
                  <c:v>14.199999999999989</c:v>
                </c:pt>
                <c:pt idx="35">
                  <c:v>14.299999999999988</c:v>
                </c:pt>
                <c:pt idx="36">
                  <c:v>14.399999999999988</c:v>
                </c:pt>
                <c:pt idx="37">
                  <c:v>14.499999999999988</c:v>
                </c:pt>
                <c:pt idx="38">
                  <c:v>14.599999999999987</c:v>
                </c:pt>
                <c:pt idx="39">
                  <c:v>14.699999999999987</c:v>
                </c:pt>
                <c:pt idx="40">
                  <c:v>14.799999999999986</c:v>
                </c:pt>
                <c:pt idx="41">
                  <c:v>14.899999999999986</c:v>
                </c:pt>
                <c:pt idx="42">
                  <c:v>14.999999999999986</c:v>
                </c:pt>
                <c:pt idx="43">
                  <c:v>15.099999999999985</c:v>
                </c:pt>
                <c:pt idx="44">
                  <c:v>15.199999999999985</c:v>
                </c:pt>
                <c:pt idx="45">
                  <c:v>15.299999999999985</c:v>
                </c:pt>
                <c:pt idx="46">
                  <c:v>15.399999999999984</c:v>
                </c:pt>
                <c:pt idx="47">
                  <c:v>15.499999999999984</c:v>
                </c:pt>
                <c:pt idx="48">
                  <c:v>15.599999999999984</c:v>
                </c:pt>
                <c:pt idx="49">
                  <c:v>15.699999999999983</c:v>
                </c:pt>
                <c:pt idx="50">
                  <c:v>15.799999999999983</c:v>
                </c:pt>
                <c:pt idx="51">
                  <c:v>15.899999999999983</c:v>
                </c:pt>
                <c:pt idx="52">
                  <c:v>15.999999999999982</c:v>
                </c:pt>
                <c:pt idx="53">
                  <c:v>16.099999999999984</c:v>
                </c:pt>
                <c:pt idx="54">
                  <c:v>16.199999999999985</c:v>
                </c:pt>
                <c:pt idx="55">
                  <c:v>16.299999999999986</c:v>
                </c:pt>
                <c:pt idx="56">
                  <c:v>16.399999999999988</c:v>
                </c:pt>
                <c:pt idx="57">
                  <c:v>16.499999999999989</c:v>
                </c:pt>
                <c:pt idx="58">
                  <c:v>16.599999999999991</c:v>
                </c:pt>
                <c:pt idx="59">
                  <c:v>16.699999999999992</c:v>
                </c:pt>
                <c:pt idx="60">
                  <c:v>16.799999999999994</c:v>
                </c:pt>
                <c:pt idx="61">
                  <c:v>16.899999999999995</c:v>
                </c:pt>
                <c:pt idx="62">
                  <c:v>16.999999999999996</c:v>
                </c:pt>
                <c:pt idx="63">
                  <c:v>17.099999999999998</c:v>
                </c:pt>
                <c:pt idx="64">
                  <c:v>17.2</c:v>
                </c:pt>
                <c:pt idx="65">
                  <c:v>17.3</c:v>
                </c:pt>
                <c:pt idx="66">
                  <c:v>17.400000000000002</c:v>
                </c:pt>
                <c:pt idx="67">
                  <c:v>17.500000000000004</c:v>
                </c:pt>
                <c:pt idx="68">
                  <c:v>17.600000000000005</c:v>
                </c:pt>
                <c:pt idx="69">
                  <c:v>17.700000000000006</c:v>
                </c:pt>
                <c:pt idx="70">
                  <c:v>17.800000000000008</c:v>
                </c:pt>
                <c:pt idx="71">
                  <c:v>17.900000000000009</c:v>
                </c:pt>
                <c:pt idx="72">
                  <c:v>18.000000000000011</c:v>
                </c:pt>
                <c:pt idx="73">
                  <c:v>18.100000000000012</c:v>
                </c:pt>
                <c:pt idx="74">
                  <c:v>18.200000000000014</c:v>
                </c:pt>
                <c:pt idx="75">
                  <c:v>18.300000000000015</c:v>
                </c:pt>
                <c:pt idx="76">
                  <c:v>18.400000000000016</c:v>
                </c:pt>
                <c:pt idx="77">
                  <c:v>18.500000000000018</c:v>
                </c:pt>
                <c:pt idx="78">
                  <c:v>18.600000000000019</c:v>
                </c:pt>
                <c:pt idx="79">
                  <c:v>18.700000000000021</c:v>
                </c:pt>
                <c:pt idx="80">
                  <c:v>18.800000000000022</c:v>
                </c:pt>
                <c:pt idx="81">
                  <c:v>18.900000000000023</c:v>
                </c:pt>
              </c:numCache>
            </c:numRef>
          </c:xVal>
          <c:yVal>
            <c:numRef>
              <c:f>[0]!DWD_fit</c:f>
              <c:numCache>
                <c:formatCode>General</c:formatCode>
                <c:ptCount val="82"/>
                <c:pt idx="0">
                  <c:v>105.60000000000001</c:v>
                </c:pt>
                <c:pt idx="1">
                  <c:v>105.67496212121213</c:v>
                </c:pt>
                <c:pt idx="2">
                  <c:v>105.75045454545456</c:v>
                </c:pt>
                <c:pt idx="3">
                  <c:v>105.82647727272729</c:v>
                </c:pt>
                <c:pt idx="4">
                  <c:v>105.90303030303032</c:v>
                </c:pt>
                <c:pt idx="5">
                  <c:v>105.98011363636365</c:v>
                </c:pt>
                <c:pt idx="6">
                  <c:v>106.05772727272729</c:v>
                </c:pt>
                <c:pt idx="7">
                  <c:v>106.13587121212123</c:v>
                </c:pt>
                <c:pt idx="8">
                  <c:v>106.21454545454547</c:v>
                </c:pt>
                <c:pt idx="9">
                  <c:v>106.29375000000002</c:v>
                </c:pt>
                <c:pt idx="10">
                  <c:v>106.37348484848486</c:v>
                </c:pt>
                <c:pt idx="11">
                  <c:v>106.45375000000001</c:v>
                </c:pt>
                <c:pt idx="12">
                  <c:v>106.53454545454547</c:v>
                </c:pt>
                <c:pt idx="13">
                  <c:v>106.61587121212122</c:v>
                </c:pt>
                <c:pt idx="14">
                  <c:v>106.69772727272729</c:v>
                </c:pt>
                <c:pt idx="15">
                  <c:v>106.78011363636365</c:v>
                </c:pt>
                <c:pt idx="16">
                  <c:v>106.86303030303031</c:v>
                </c:pt>
                <c:pt idx="17">
                  <c:v>106.94647727272729</c:v>
                </c:pt>
                <c:pt idx="18">
                  <c:v>107.03045454545456</c:v>
                </c:pt>
                <c:pt idx="19">
                  <c:v>107.11496212121213</c:v>
                </c:pt>
                <c:pt idx="20">
                  <c:v>107.20000000000002</c:v>
                </c:pt>
                <c:pt idx="21">
                  <c:v>107.28556818181819</c:v>
                </c:pt>
                <c:pt idx="22">
                  <c:v>107.37166666666668</c:v>
                </c:pt>
                <c:pt idx="23">
                  <c:v>107.45829545454546</c:v>
                </c:pt>
                <c:pt idx="24">
                  <c:v>107.54545454545456</c:v>
                </c:pt>
                <c:pt idx="25">
                  <c:v>107.63314393939395</c:v>
                </c:pt>
                <c:pt idx="26">
                  <c:v>107.72136363636365</c:v>
                </c:pt>
                <c:pt idx="27">
                  <c:v>107.81011363636365</c:v>
                </c:pt>
                <c:pt idx="28">
                  <c:v>107.89939393939395</c:v>
                </c:pt>
                <c:pt idx="29">
                  <c:v>107.98920454545456</c:v>
                </c:pt>
                <c:pt idx="30">
                  <c:v>108.07954545454547</c:v>
                </c:pt>
                <c:pt idx="31">
                  <c:v>108.17041666666668</c:v>
                </c:pt>
                <c:pt idx="32">
                  <c:v>108.2618181818182</c:v>
                </c:pt>
                <c:pt idx="33">
                  <c:v>108.35375000000001</c:v>
                </c:pt>
                <c:pt idx="34">
                  <c:v>108.44621212121213</c:v>
                </c:pt>
                <c:pt idx="35">
                  <c:v>108.53920454545455</c:v>
                </c:pt>
                <c:pt idx="36">
                  <c:v>108.63272727272728</c:v>
                </c:pt>
                <c:pt idx="37">
                  <c:v>108.72678030303031</c:v>
                </c:pt>
                <c:pt idx="38">
                  <c:v>108.82136363636364</c:v>
                </c:pt>
                <c:pt idx="39">
                  <c:v>108.91647727272728</c:v>
                </c:pt>
                <c:pt idx="40">
                  <c:v>109.01212121212123</c:v>
                </c:pt>
                <c:pt idx="41">
                  <c:v>109.10829545454547</c:v>
                </c:pt>
                <c:pt idx="42">
                  <c:v>109.20500000000001</c:v>
                </c:pt>
                <c:pt idx="43">
                  <c:v>109.30223484848486</c:v>
                </c:pt>
                <c:pt idx="44">
                  <c:v>109.4</c:v>
                </c:pt>
                <c:pt idx="45">
                  <c:v>109.49829545454546</c:v>
                </c:pt>
                <c:pt idx="46">
                  <c:v>109.59712121212122</c:v>
                </c:pt>
                <c:pt idx="47">
                  <c:v>109.69647727272728</c:v>
                </c:pt>
                <c:pt idx="48">
                  <c:v>109.79427533573471</c:v>
                </c:pt>
                <c:pt idx="49">
                  <c:v>109.88942439691164</c:v>
                </c:pt>
                <c:pt idx="50">
                  <c:v>110.0220516580157</c:v>
                </c:pt>
                <c:pt idx="51">
                  <c:v>110.11757647257764</c:v>
                </c:pt>
                <c:pt idx="52">
                  <c:v>110.12676833872683</c:v>
                </c:pt>
                <c:pt idx="53">
                  <c:v>110.02713014127221</c:v>
                </c:pt>
                <c:pt idx="54">
                  <c:v>109.82430357288104</c:v>
                </c:pt>
                <c:pt idx="55">
                  <c:v>109.55349672364537</c:v>
                </c:pt>
                <c:pt idx="56">
                  <c:v>109.2809338622028</c:v>
                </c:pt>
                <c:pt idx="57">
                  <c:v>109.10532737837639</c:v>
                </c:pt>
                <c:pt idx="58">
                  <c:v>108.86000000000001</c:v>
                </c:pt>
                <c:pt idx="59">
                  <c:v>108.63000000000001</c:v>
                </c:pt>
                <c:pt idx="60">
                  <c:v>108.4</c:v>
                </c:pt>
                <c:pt idx="61">
                  <c:v>108.17</c:v>
                </c:pt>
                <c:pt idx="62">
                  <c:v>107.94</c:v>
                </c:pt>
                <c:pt idx="63">
                  <c:v>107.71</c:v>
                </c:pt>
                <c:pt idx="64">
                  <c:v>107.47999999999999</c:v>
                </c:pt>
                <c:pt idx="65">
                  <c:v>107.24999999999999</c:v>
                </c:pt>
                <c:pt idx="66">
                  <c:v>107.01999999999998</c:v>
                </c:pt>
                <c:pt idx="67">
                  <c:v>106.78999999999998</c:v>
                </c:pt>
                <c:pt idx="68">
                  <c:v>106.55999999999997</c:v>
                </c:pt>
                <c:pt idx="69">
                  <c:v>106.32999999999997</c:v>
                </c:pt>
                <c:pt idx="70">
                  <c:v>106.09999999999997</c:v>
                </c:pt>
                <c:pt idx="71">
                  <c:v>105.86999999999996</c:v>
                </c:pt>
                <c:pt idx="72">
                  <c:v>105.63999999999996</c:v>
                </c:pt>
                <c:pt idx="73">
                  <c:v>105.40999999999995</c:v>
                </c:pt>
                <c:pt idx="74">
                  <c:v>105.17999999999995</c:v>
                </c:pt>
                <c:pt idx="75">
                  <c:v>104.94999999999995</c:v>
                </c:pt>
                <c:pt idx="76">
                  <c:v>104.71999999999994</c:v>
                </c:pt>
                <c:pt idx="77">
                  <c:v>104.48999999999994</c:v>
                </c:pt>
                <c:pt idx="78">
                  <c:v>104.25999999999993</c:v>
                </c:pt>
                <c:pt idx="79">
                  <c:v>104.02999999999993</c:v>
                </c:pt>
                <c:pt idx="80">
                  <c:v>103.79999999999993</c:v>
                </c:pt>
                <c:pt idx="81">
                  <c:v>103.56999999999994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1D-424F-B184-647E0D747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678336"/>
        <c:axId val="150086016"/>
      </c:scatterChart>
      <c:valAx>
        <c:axId val="149678336"/>
        <c:scaling>
          <c:orientation val="minMax"/>
          <c:max val="30"/>
          <c:min val="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Moisture Content, %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0086016"/>
        <c:crosses val="autoZero"/>
        <c:crossBetween val="midCat"/>
        <c:majorUnit val="2"/>
        <c:minorUnit val="0.5"/>
      </c:valAx>
      <c:valAx>
        <c:axId val="150086016"/>
        <c:scaling>
          <c:orientation val="minMax"/>
          <c:min val="10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</a:rPr>
                  <a:t>Wet/Dry Density, lb/ft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</a:rPr>
                  <a:t>3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9678336"/>
        <c:crosses val="autoZero"/>
        <c:crossBetween val="midCat"/>
        <c:minorUnit val="0.5"/>
      </c:valAx>
    </c:plotArea>
    <c:legend>
      <c:legendPos val="r"/>
      <c:layout>
        <c:manualLayout>
          <c:xMode val="edge"/>
          <c:yMode val="edge"/>
          <c:x val="0.74717101696161003"/>
          <c:y val="0.30669343377846475"/>
          <c:w val="9.1013680124641061E-2"/>
          <c:h val="0.13844831632446733"/>
        </c:manualLayout>
      </c:layout>
      <c:overlay val="1"/>
      <c:spPr>
        <a:solidFill>
          <a:schemeClr val="bg1"/>
        </a:solidFill>
        <a:ln w="15875">
          <a:solidFill>
            <a:schemeClr val="tx1"/>
          </a:solidFill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>
              <a:solidFill>
                <a:schemeClr val="tx1"/>
              </a:solidFill>
            </a:ln>
          </c:spPr>
          <c:marker>
            <c:symbol val="none"/>
          </c:marker>
          <c:xVal>
            <c:numLit>
              <c:formatCode>General</c:formatCode>
              <c:ptCount val="4"/>
              <c:pt idx="0">
                <c:v>0</c:v>
              </c:pt>
              <c:pt idx="1">
                <c:v>50</c:v>
              </c:pt>
              <c:pt idx="2">
                <c:v>100</c:v>
              </c:pt>
              <c:pt idx="3">
                <c:v>0</c:v>
              </c:pt>
            </c:numLit>
          </c:xVal>
          <c:yVal>
            <c:numLit>
              <c:formatCode>General</c:formatCode>
              <c:ptCount val="4"/>
              <c:pt idx="0">
                <c:v>0</c:v>
              </c:pt>
              <c:pt idx="1">
                <c:v>100</c:v>
              </c:pt>
              <c:pt idx="2">
                <c:v>0</c:v>
              </c:pt>
              <c:pt idx="3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2479-4BBB-A196-35AA68EAEF36}"/>
            </c:ext>
          </c:extLst>
        </c:ser>
        <c:ser>
          <c:idx val="1"/>
          <c:order val="1"/>
          <c:spPr>
            <a:ln w="38100">
              <a:solidFill>
                <a:schemeClr val="tx1"/>
              </a:solidFill>
            </a:ln>
          </c:spPr>
          <c:marker>
            <c:symbol val="none"/>
          </c:marker>
          <c:xVal>
            <c:numLit>
              <c:formatCode>General</c:formatCode>
              <c:ptCount val="4"/>
              <c:pt idx="0">
                <c:v>20</c:v>
              </c:pt>
              <c:pt idx="1">
                <c:v>10</c:v>
              </c:pt>
              <c:pt idx="2">
                <c:v>90</c:v>
              </c:pt>
              <c:pt idx="3">
                <c:v>80</c:v>
              </c:pt>
            </c:numLit>
          </c:xVal>
          <c:yVal>
            <c:numLit>
              <c:formatCode>General</c:formatCode>
              <c:ptCount val="4"/>
              <c:pt idx="0">
                <c:v>0</c:v>
              </c:pt>
              <c:pt idx="1">
                <c:v>20</c:v>
              </c:pt>
              <c:pt idx="2">
                <c:v>20</c:v>
              </c:pt>
              <c:pt idx="3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2479-4BBB-A196-35AA68EAEF36}"/>
            </c:ext>
          </c:extLst>
        </c:ser>
        <c:ser>
          <c:idx val="2"/>
          <c:order val="2"/>
          <c:spPr>
            <a:ln w="38100">
              <a:solidFill>
                <a:schemeClr val="tx1"/>
              </a:solidFill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15</c:v>
              </c:pt>
              <c:pt idx="1">
                <c:v>85</c:v>
              </c:pt>
            </c:numLit>
          </c:xVal>
          <c:yVal>
            <c:numLit>
              <c:formatCode>General</c:formatCode>
              <c:ptCount val="2"/>
              <c:pt idx="0">
                <c:v>30</c:v>
              </c:pt>
              <c:pt idx="1">
                <c:v>30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2479-4BBB-A196-35AA68EAEF36}"/>
            </c:ext>
          </c:extLst>
        </c:ser>
        <c:ser>
          <c:idx val="3"/>
          <c:order val="3"/>
          <c:spPr>
            <a:ln w="38100">
              <a:solidFill>
                <a:schemeClr val="tx1"/>
              </a:solidFill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32.5</c:v>
              </c:pt>
              <c:pt idx="1">
                <c:v>67.5</c:v>
              </c:pt>
            </c:numLit>
          </c:xVal>
          <c:yVal>
            <c:numLit>
              <c:formatCode>General</c:formatCode>
              <c:ptCount val="2"/>
              <c:pt idx="0">
                <c:v>65</c:v>
              </c:pt>
              <c:pt idx="1">
                <c:v>65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2479-4BBB-A196-35AA68EAEF36}"/>
            </c:ext>
          </c:extLst>
        </c:ser>
        <c:ser>
          <c:idx val="4"/>
          <c:order val="4"/>
          <c:spPr>
            <a:ln w="38100">
              <a:solidFill>
                <a:schemeClr val="tx1"/>
              </a:solidFill>
            </a:ln>
          </c:spPr>
          <c:marker>
            <c:symbol val="none"/>
          </c:marker>
          <c:xVal>
            <c:numLit>
              <c:formatCode>General</c:formatCode>
              <c:ptCount val="4"/>
              <c:pt idx="0">
                <c:v>25</c:v>
              </c:pt>
              <c:pt idx="1">
                <c:v>75</c:v>
              </c:pt>
              <c:pt idx="2">
                <c:v>50</c:v>
              </c:pt>
              <c:pt idx="3">
                <c:v>25</c:v>
              </c:pt>
            </c:numLit>
          </c:xVal>
          <c:yVal>
            <c:numLit>
              <c:formatCode>General</c:formatCode>
              <c:ptCount val="4"/>
              <c:pt idx="0">
                <c:v>50</c:v>
              </c:pt>
              <c:pt idx="1">
                <c:v>50</c:v>
              </c:pt>
              <c:pt idx="2">
                <c:v>0</c:v>
              </c:pt>
              <c:pt idx="3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2479-4BBB-A196-35AA68EAEF36}"/>
            </c:ext>
          </c:extLst>
        </c:ser>
        <c:ser>
          <c:idx val="8"/>
          <c:order val="5"/>
          <c:spPr>
            <a:ln w="38100">
              <a:solidFill>
                <a:schemeClr val="tx1"/>
              </a:solidFill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50</c:v>
              </c:pt>
              <c:pt idx="1">
                <c:v>50</c:v>
              </c:pt>
            </c:numLit>
          </c:xVal>
          <c:yVal>
            <c:numLit>
              <c:formatCode>General</c:formatCode>
              <c:ptCount val="2"/>
              <c:pt idx="0">
                <c:v>30</c:v>
              </c:pt>
              <c:pt idx="1">
                <c:v>65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2479-4BBB-A196-35AA68EAEF36}"/>
            </c:ext>
          </c:extLst>
        </c:ser>
        <c:ser>
          <c:idx val="5"/>
          <c:order val="6"/>
          <c:tx>
            <c:v>Silt</c:v>
          </c:tx>
          <c:spPr>
            <a:ln w="6350">
              <a:solidFill>
                <a:srgbClr val="7030A0"/>
              </a:solidFill>
            </a:ln>
          </c:spPr>
          <c:marker>
            <c:symbol val="none"/>
          </c:marker>
          <c:xVal>
            <c:strRef>
              <c:f>'Soil Classification'!$Q$245:$Q$246</c:f>
              <c:strCache>
                <c:ptCount val="2"/>
                <c:pt idx="1">
                  <c:v>#VALUE!</c:v>
                </c:pt>
              </c:strCache>
            </c:strRef>
          </c:xVal>
          <c:yVal>
            <c:numRef>
              <c:f>'Soil Classification'!$R$245:$R$246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79-4BBB-A196-35AA68EAEF36}"/>
            </c:ext>
          </c:extLst>
        </c:ser>
        <c:ser>
          <c:idx val="6"/>
          <c:order val="7"/>
          <c:tx>
            <c:v>Sand</c:v>
          </c:tx>
          <c:spPr>
            <a:ln w="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xVal>
            <c:numRef>
              <c:f>'Soil Classification'!$Q$248:$Q$249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'Soil Classification'!$R$248:$R$249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79-4BBB-A196-35AA68EAEF36}"/>
            </c:ext>
          </c:extLst>
        </c:ser>
        <c:ser>
          <c:idx val="7"/>
          <c:order val="8"/>
          <c:tx>
            <c:v>Clay</c:v>
          </c:tx>
          <c:spPr>
            <a:ln w="0"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'Soil Classification'!$Q$251:$Q$252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'Soil Classification'!$R$251:$R$252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479-4BBB-A196-35AA68EAEF36}"/>
            </c:ext>
          </c:extLst>
        </c:ser>
        <c:ser>
          <c:idx val="9"/>
          <c:order val="9"/>
          <c:tx>
            <c:v>Soil</c:v>
          </c:tx>
          <c:spPr>
            <a:ln>
              <a:noFill/>
            </a:ln>
          </c:spPr>
          <c:marker>
            <c:symbol val="circle"/>
            <c:size val="10"/>
            <c:spPr>
              <a:noFill/>
              <a:ln w="31750">
                <a:solidFill>
                  <a:srgbClr val="FF0000"/>
                </a:solidFill>
              </a:ln>
            </c:spPr>
          </c:marker>
          <c:xVal>
            <c:numRef>
              <c:f>'Soil Classification'!$Q$254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'Soil Classification'!$R$254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479-4BBB-A196-35AA68EAE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224896"/>
        <c:axId val="150226816"/>
      </c:scatterChart>
      <c:valAx>
        <c:axId val="150224896"/>
        <c:scaling>
          <c:orientation val="minMax"/>
          <c:max val="100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150226816"/>
        <c:crosses val="autoZero"/>
        <c:crossBetween val="midCat"/>
      </c:valAx>
      <c:valAx>
        <c:axId val="150226816"/>
        <c:scaling>
          <c:orientation val="minMax"/>
          <c:max val="100"/>
          <c:min val="-1"/>
        </c:scaling>
        <c:delete val="1"/>
        <c:axPos val="l"/>
        <c:numFmt formatCode="General" sourceLinked="1"/>
        <c:majorTickMark val="out"/>
        <c:minorTickMark val="none"/>
        <c:tickLblPos val="nextTo"/>
        <c:crossAx val="150224896"/>
        <c:crosses val="autoZero"/>
        <c:crossBetween val="midCat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WWD</c:v>
          </c:tx>
          <c:spPr>
            <a:ln>
              <a:noFill/>
            </a:ln>
          </c:spPr>
          <c:xVal>
            <c:numRef>
              <c:f>[0]!WWD_X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[0]!WWD_y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F2B-4F69-AF8E-40E984C8583B}"/>
            </c:ext>
          </c:extLst>
        </c:ser>
        <c:ser>
          <c:idx val="2"/>
          <c:order val="1"/>
          <c:tx>
            <c:v>WWD Best Fit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'Soil Classification'!$A$209:$AT$209</c:f>
              <c:numCache>
                <c:formatCode>General</c:formatCode>
                <c:ptCount val="4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</c:numCache>
            </c:numRef>
          </c:xVal>
          <c:yVal>
            <c:numRef>
              <c:f>'Soil Classification'!$A$210:$AT$210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F2B-4F69-AF8E-40E984C8583B}"/>
            </c:ext>
          </c:extLst>
        </c:ser>
        <c:ser>
          <c:idx val="1"/>
          <c:order val="2"/>
          <c:tx>
            <c:v>DWD</c:v>
          </c:tx>
          <c:spPr>
            <a:ln>
              <a:noFill/>
            </a:ln>
          </c:spPr>
          <c:xVal>
            <c:numRef>
              <c:f>[0]!WWD_X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[0]!DWD_y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F2B-4F69-AF8E-40E984C8583B}"/>
            </c:ext>
          </c:extLst>
        </c:ser>
        <c:ser>
          <c:idx val="3"/>
          <c:order val="3"/>
          <c:tx>
            <c:v>DWD Best Fit</c:v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'Soil Classification'!$A$209:$AT$209</c:f>
              <c:numCache>
                <c:formatCode>General</c:formatCode>
                <c:ptCount val="4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</c:numCache>
            </c:numRef>
          </c:xVal>
          <c:yVal>
            <c:numRef>
              <c:f>'Soil Classification'!$A$211:$AT$211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F2B-4F69-AF8E-40E984C8583B}"/>
            </c:ext>
          </c:extLst>
        </c:ser>
        <c:ser>
          <c:idx val="4"/>
          <c:order val="4"/>
          <c:tx>
            <c:v>Optimum</c:v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chemeClr val="tx1"/>
              </a:solidFill>
              <a:ln w="31750">
                <a:solidFill>
                  <a:schemeClr val="tx1"/>
                </a:solidFill>
              </a:ln>
            </c:spPr>
          </c:marker>
          <c:xVal>
            <c:numRef>
              <c:f>'Soil Classification'!$AQ$219</c:f>
            </c:numRef>
          </c:xVal>
          <c:yVal>
            <c:numRef>
              <c:f>'Soil Classification'!$AQ$222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F2B-4F69-AF8E-40E984C85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762560"/>
        <c:axId val="163764480"/>
      </c:scatterChart>
      <c:valAx>
        <c:axId val="163762560"/>
        <c:scaling>
          <c:orientation val="minMax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3764480"/>
        <c:crosses val="autoZero"/>
        <c:crossBetween val="midCat"/>
      </c:valAx>
      <c:valAx>
        <c:axId val="163764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3762560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417314095449501E-2"/>
          <c:y val="3.4257748776508973E-2"/>
          <c:w val="0.88124306326304103"/>
          <c:h val="0.85970636215334417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'Aggregate Test Report'!$X$55:$X$64</c:f>
              <c:numCache>
                <c:formatCode>General</c:formatCode>
                <c:ptCount val="10"/>
                <c:pt idx="0">
                  <c:v>63</c:v>
                </c:pt>
                <c:pt idx="1">
                  <c:v>50</c:v>
                </c:pt>
                <c:pt idx="2">
                  <c:v>37.5</c:v>
                </c:pt>
                <c:pt idx="3">
                  <c:v>31.5</c:v>
                </c:pt>
                <c:pt idx="4">
                  <c:v>25</c:v>
                </c:pt>
                <c:pt idx="5">
                  <c:v>19</c:v>
                </c:pt>
                <c:pt idx="6">
                  <c:v>16</c:v>
                </c:pt>
                <c:pt idx="7">
                  <c:v>12.5</c:v>
                </c:pt>
                <c:pt idx="8">
                  <c:v>9.5</c:v>
                </c:pt>
                <c:pt idx="9">
                  <c:v>4.75</c:v>
                </c:pt>
              </c:numCache>
            </c:numRef>
          </c:xVal>
          <c:yVal>
            <c:numRef>
              <c:f>'Aggregate Test Report'!$X$66:$X$75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5B-490B-822F-47896E43E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154176"/>
        <c:axId val="165185408"/>
      </c:scatterChart>
      <c:valAx>
        <c:axId val="165154176"/>
        <c:scaling>
          <c:logBase val="10"/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Size (mm)</a:t>
                </a:r>
              </a:p>
            </c:rich>
          </c:tx>
          <c:layout>
            <c:manualLayout>
              <c:xMode val="edge"/>
              <c:yMode val="edge"/>
              <c:x val="0.40621537590423878"/>
              <c:y val="0.944535019592918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185408"/>
        <c:crosses val="autoZero"/>
        <c:crossBetween val="midCat"/>
      </c:valAx>
      <c:valAx>
        <c:axId val="165185408"/>
        <c:scaling>
          <c:orientation val="minMax"/>
          <c:max val="100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Passing</a:t>
                </a:r>
              </a:p>
            </c:rich>
          </c:tx>
          <c:layout>
            <c:manualLayout>
              <c:xMode val="edge"/>
              <c:yMode val="edge"/>
              <c:x val="0.96226409430177728"/>
              <c:y val="0.4094617190642572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154176"/>
        <c:crosses val="autoZero"/>
        <c:crossBetween val="midCat"/>
        <c:majorUnit val="10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186459489456157E-2"/>
          <c:y val="3.4257748776508973E-2"/>
          <c:w val="0.87347391786903439"/>
          <c:h val="0.85970636215334417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'Aggregate Test Report'!$X$83:$X$92</c:f>
              <c:numCache>
                <c:formatCode>General</c:formatCode>
                <c:ptCount val="10"/>
                <c:pt idx="0">
                  <c:v>2360</c:v>
                </c:pt>
                <c:pt idx="1">
                  <c:v>2000</c:v>
                </c:pt>
                <c:pt idx="2">
                  <c:v>1180</c:v>
                </c:pt>
                <c:pt idx="3">
                  <c:v>600</c:v>
                </c:pt>
                <c:pt idx="4">
                  <c:v>425</c:v>
                </c:pt>
                <c:pt idx="5">
                  <c:v>300</c:v>
                </c:pt>
                <c:pt idx="6">
                  <c:v>180</c:v>
                </c:pt>
                <c:pt idx="7">
                  <c:v>150</c:v>
                </c:pt>
                <c:pt idx="8">
                  <c:v>75</c:v>
                </c:pt>
                <c:pt idx="9">
                  <c:v>53</c:v>
                </c:pt>
              </c:numCache>
            </c:numRef>
          </c:xVal>
          <c:yVal>
            <c:numRef>
              <c:f>'Aggregate Test Report'!$X$95:$X$104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40-47BB-89E2-F308B3212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361536"/>
        <c:axId val="165392768"/>
      </c:scatterChart>
      <c:valAx>
        <c:axId val="165361536"/>
        <c:scaling>
          <c:logBase val="10"/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Size (</a:t>
                </a:r>
                <a:r>
                  <a:rPr lang="el-GR"/>
                  <a:t>μ</a:t>
                </a:r>
                <a:r>
                  <a:rPr lang="en-US"/>
                  <a:t>m)</a:t>
                </a:r>
              </a:p>
            </c:rich>
          </c:tx>
          <c:layout>
            <c:manualLayout>
              <c:xMode val="edge"/>
              <c:yMode val="edge"/>
              <c:x val="0.41176469909048458"/>
              <c:y val="0.944535019592918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392768"/>
        <c:crosses val="autoZero"/>
        <c:crossBetween val="midCat"/>
      </c:valAx>
      <c:valAx>
        <c:axId val="165392768"/>
        <c:scaling>
          <c:orientation val="minMax"/>
          <c:max val="100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Passing</a:t>
                </a:r>
              </a:p>
            </c:rich>
          </c:tx>
          <c:layout>
            <c:manualLayout>
              <c:xMode val="edge"/>
              <c:yMode val="edge"/>
              <c:x val="0.96226409430177728"/>
              <c:y val="0.4094617190642572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361536"/>
        <c:crosses val="autoZero"/>
        <c:crossBetween val="midCat"/>
        <c:majorUnit val="10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6"/>
  <sheetViews>
    <sheetView tabSelected="1" zoomScale="101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9"/>
  <sheetViews>
    <sheetView zoomScale="101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10"/>
  <sheetViews>
    <sheetView zoomScale="102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1"/>
  <sheetViews>
    <sheetView zoomScale="102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4"/>
  <sheetViews>
    <sheetView zoomScale="97" workbookViewId="0"/>
  </sheetViews>
  <pageMargins left="0.75" right="0.75" top="1" bottom="1" header="0.5" footer="0.5"/>
  <headerFooter alignWithMargins="0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5"/>
  <sheetViews>
    <sheetView zoomScale="97" workbookViewId="0"/>
  </sheetViews>
  <pageMargins left="0.75" right="0.75" top="1" bottom="1" header="0.5" footer="0.5"/>
  <headerFooter alignWithMargins="0"/>
  <drawing r:id="rId1"/>
</chartsheet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138</xdr:row>
      <xdr:rowOff>66674</xdr:rowOff>
    </xdr:from>
    <xdr:ext cx="1209675" cy="30480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/>
            <xdr:cNvSpPr txBox="1"/>
          </xdr:nvSpPr>
          <xdr:spPr>
            <a:xfrm>
              <a:off x="2743200" y="10829924"/>
              <a:ext cx="1209675" cy="3048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800" b="0" i="1">
                        <a:latin typeface="Cambria Math"/>
                      </a:rPr>
                      <m:t>100 </m:t>
                    </m:r>
                    <m:r>
                      <a:rPr lang="en-US" sz="800" b="0" i="1">
                        <a:latin typeface="Cambria Math"/>
                        <a:ea typeface="Cambria Math"/>
                      </a:rPr>
                      <m:t>× </m:t>
                    </m:r>
                    <m:f>
                      <m:fPr>
                        <m:ctrlPr>
                          <a:rPr lang="en-US" sz="8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fPr>
                      <m:num>
                        <m:r>
                          <a:rPr lang="en-US" sz="800" b="0" i="1">
                            <a:latin typeface="Cambria Math"/>
                            <a:ea typeface="Cambria Math"/>
                          </a:rPr>
                          <m:t>(</m:t>
                        </m:r>
                        <m:r>
                          <a:rPr lang="en-US" sz="800" b="0" i="1">
                            <a:latin typeface="Cambria Math"/>
                            <a:ea typeface="Cambria Math"/>
                          </a:rPr>
                          <m:t>𝐴</m:t>
                        </m:r>
                        <m:r>
                          <a:rPr lang="en-US" sz="800" b="0" i="1">
                            <a:latin typeface="Cambria Math"/>
                            <a:ea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en-US" sz="8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a:rPr lang="en-US" sz="800" b="0" i="1">
                                <a:latin typeface="Cambria Math"/>
                                <a:ea typeface="Cambria Math"/>
                              </a:rPr>
                              <m:t>𝐵</m:t>
                            </m:r>
                          </m:e>
                          <m:sub>
                            <m:r>
                              <a:rPr lang="en-US" sz="800" b="0" i="1">
                                <a:latin typeface="Cambria Math"/>
                                <a:ea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en-US" sz="800" b="0" i="1">
                            <a:latin typeface="Cambria Math"/>
                            <a:ea typeface="Cambria Math"/>
                          </a:rPr>
                          <m:t>)</m:t>
                        </m:r>
                      </m:num>
                      <m:den>
                        <m:r>
                          <a:rPr lang="en-US" sz="800" b="0" i="1">
                            <a:latin typeface="Cambria Math"/>
                            <a:ea typeface="Cambria Math"/>
                          </a:rPr>
                          <m:t>𝐴</m:t>
                        </m:r>
                      </m:den>
                    </m:f>
                  </m:oMath>
                </m:oMathPara>
              </a14:m>
              <a:endParaRPr lang="en-US" sz="800"/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 xmlns:a="http://schemas.openxmlformats.org/drawingml/2006/main">
              <a:off x="2743200" y="10829924"/>
              <a:ext cx="1209675" cy="304801"/>
            </a:xfrm>
            <a:prstGeom xmlns:a="http://schemas.openxmlformats.org/drawingml/2006/main" prst="rect">
              <a:avLst/>
            </a:prstGeom>
            <a:noFill xmlns:a="http://schemas.openxmlformats.org/drawingml/2006/main"/>
          </xdr:spPr>
          <x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xdr:style>
          <xdr:txBody>
            <a:bodyPr xmlns:a="http://schemas.openxmlformats.org/drawingml/2006/main" vertOverflow="clip" horzOverflow="clip" wrap="square" rtlCol="0" anchor="t">
              <a:noAutofit/>
            </a:bodyPr>
            <a:lstStyle xmlns:a="http://schemas.openxmlformats.org/drawingml/2006/main"/>
            <a:p xmlns:a="http://schemas.openxmlformats.org/drawingml/2006/main">
              <a:pPr/>
              <a:r>
                <a:rPr lang="en-US" sz="800" b="0" i="0">
                  <a:latin typeface="Cambria Math"/>
                </a:rPr>
                <a:t>100 </a:t>
              </a:r>
              <a:r>
                <a:rPr lang="en-US" sz="800" b="0" i="0">
                  <a:latin typeface="Cambria Math"/>
                  <a:ea typeface="Cambria Math"/>
                </a:rPr>
                <a:t>×  ((𝐴−𝐵_1))/𝐴</a:t>
              </a:r>
              <a:endParaRPr lang="en-US" sz="800"/>
            </a:p>
          </xdr:txBody>
        </xdr:sp>
      </mc:Fallback>
    </mc:AlternateContent>
    <xdr:clientData/>
  </xdr:oneCellAnchor>
  <xdr:oneCellAnchor>
    <xdr:from>
      <xdr:col>18</xdr:col>
      <xdr:colOff>0</xdr:colOff>
      <xdr:row>143</xdr:row>
      <xdr:rowOff>0</xdr:rowOff>
    </xdr:from>
    <xdr:ext cx="1209675" cy="30480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/>
            <xdr:cNvSpPr txBox="1"/>
          </xdr:nvSpPr>
          <xdr:spPr>
            <a:xfrm>
              <a:off x="2743200" y="11144250"/>
              <a:ext cx="1209675" cy="3048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800" b="0" i="1">
                        <a:latin typeface="Cambria Math"/>
                      </a:rPr>
                      <m:t>100 </m:t>
                    </m:r>
                    <m:r>
                      <a:rPr lang="en-US" sz="800" b="0" i="1">
                        <a:latin typeface="Cambria Math"/>
                        <a:ea typeface="Cambria Math"/>
                      </a:rPr>
                      <m:t>× </m:t>
                    </m:r>
                    <m:f>
                      <m:fPr>
                        <m:ctrlPr>
                          <a:rPr lang="en-US" sz="8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fPr>
                      <m:num>
                        <m:r>
                          <a:rPr lang="en-US" sz="800" b="0" i="1">
                            <a:latin typeface="Cambria Math"/>
                            <a:ea typeface="Cambria Math"/>
                          </a:rPr>
                          <m:t>𝐴</m:t>
                        </m:r>
                        <m:r>
                          <a:rPr lang="en-US" sz="800" b="0" i="1">
                            <a:latin typeface="Cambria Math"/>
                            <a:ea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en-US" sz="8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a:rPr lang="en-US" sz="800" b="0" i="1">
                                <a:latin typeface="Cambria Math"/>
                                <a:ea typeface="Cambria Math"/>
                              </a:rPr>
                              <m:t>(</m:t>
                            </m:r>
                            <m:sSub>
                              <m:sSubPr>
                                <m:ctrlPr>
                                  <a:rPr lang="en-US" sz="800" b="0" i="1">
                                    <a:latin typeface="Cambria Math" panose="02040503050406030204" pitchFamily="18" charset="0"/>
                                    <a:ea typeface="Cambria Math"/>
                                  </a:rPr>
                                </m:ctrlPr>
                              </m:sSubPr>
                              <m:e>
                                <m:r>
                                  <a:rPr lang="en-US" sz="800" b="0" i="1">
                                    <a:latin typeface="Cambria Math"/>
                                    <a:ea typeface="Cambria Math"/>
                                  </a:rPr>
                                  <m:t>𝐵</m:t>
                                </m:r>
                              </m:e>
                              <m:sub>
                                <m:r>
                                  <a:rPr lang="en-US" sz="800" b="0" i="1">
                                    <a:latin typeface="Cambria Math"/>
                                    <a:ea typeface="Cambria Math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en-US" sz="800" b="0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US" sz="800" b="0" i="1">
                                <a:latin typeface="Cambria Math"/>
                                <a:ea typeface="Cambria Math"/>
                              </a:rPr>
                              <m:t>𝐵</m:t>
                            </m:r>
                          </m:e>
                          <m:sub>
                            <m:r>
                              <a:rPr lang="en-US" sz="800" b="0" i="1">
                                <a:latin typeface="Cambria Math"/>
                                <a:ea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en-US" sz="800" b="0" i="1">
                            <a:latin typeface="Cambria Math"/>
                            <a:ea typeface="Cambria Math"/>
                          </a:rPr>
                          <m:t>)</m:t>
                        </m:r>
                      </m:num>
                      <m:den>
                        <m:r>
                          <a:rPr lang="en-US" sz="800" b="0" i="1">
                            <a:latin typeface="Cambria Math"/>
                            <a:ea typeface="Cambria Math"/>
                          </a:rPr>
                          <m:t>𝐴</m:t>
                        </m:r>
                      </m:den>
                    </m:f>
                  </m:oMath>
                </m:oMathPara>
              </a14:m>
              <a:endParaRPr lang="en-US" sz="800"/>
            </a:p>
          </xdr:txBody>
        </xdr:sp>
      </mc:Choice>
      <mc:Fallback xmlns="">
        <xdr:sp macro="" textlink="">
          <xdr:nvSpPr>
            <xdr:cNvPr id="7" name="TextBox 6"/>
            <xdr:cNvSpPr txBox="1"/>
          </xdr:nvSpPr>
          <xdr:spPr>
            <a:xfrm xmlns:a="http://schemas.openxmlformats.org/drawingml/2006/main">
              <a:off x="2743200" y="11144250"/>
              <a:ext cx="1209675" cy="304801"/>
            </a:xfrm>
            <a:prstGeom xmlns:a="http://schemas.openxmlformats.org/drawingml/2006/main" prst="rect">
              <a:avLst/>
            </a:prstGeom>
            <a:noFill xmlns:a="http://schemas.openxmlformats.org/drawingml/2006/main"/>
          </xdr:spPr>
          <x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xdr:style>
          <xdr:txBody>
            <a:bodyPr xmlns:a="http://schemas.openxmlformats.org/drawingml/2006/main" vertOverflow="clip" horzOverflow="clip" wrap="square" rtlCol="0" anchor="t">
              <a:noAutofit/>
            </a:bodyPr>
            <a:lstStyle xmlns:a="http://schemas.openxmlformats.org/drawingml/2006/main"/>
            <a:p xmlns:a="http://schemas.openxmlformats.org/drawingml/2006/main">
              <a:pPr/>
              <a:r>
                <a:rPr lang="en-US" sz="800" b="0" i="0">
                  <a:latin typeface="Cambria Math"/>
                </a:rPr>
                <a:t>100 </a:t>
              </a:r>
              <a:r>
                <a:rPr lang="en-US" sz="800" b="0" i="0">
                  <a:latin typeface="Cambria Math"/>
                  <a:ea typeface="Cambria Math"/>
                </a:rPr>
                <a:t>×  (𝐴−〖(𝐵_1+𝐵〗_2))/𝐴</a:t>
              </a:r>
              <a:endParaRPr lang="en-US" sz="800"/>
            </a:p>
          </xdr:txBody>
        </xdr:sp>
      </mc:Fallback>
    </mc:AlternateContent>
    <xdr:clientData/>
  </xdr:oneCellAnchor>
  <xdr:oneCellAnchor>
    <xdr:from>
      <xdr:col>18</xdr:col>
      <xdr:colOff>0</xdr:colOff>
      <xdr:row>173</xdr:row>
      <xdr:rowOff>66674</xdr:rowOff>
    </xdr:from>
    <xdr:ext cx="1209675" cy="30480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/>
            <xdr:cNvSpPr txBox="1"/>
          </xdr:nvSpPr>
          <xdr:spPr>
            <a:xfrm>
              <a:off x="2743200" y="10829924"/>
              <a:ext cx="1209675" cy="3048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800" b="0" i="1">
                        <a:latin typeface="Cambria Math"/>
                      </a:rPr>
                      <m:t>100 </m:t>
                    </m:r>
                    <m:r>
                      <a:rPr lang="en-US" sz="800" b="0" i="1">
                        <a:latin typeface="Cambria Math"/>
                        <a:ea typeface="Cambria Math"/>
                      </a:rPr>
                      <m:t>× </m:t>
                    </m:r>
                    <m:f>
                      <m:fPr>
                        <m:ctrlPr>
                          <a:rPr lang="en-US" sz="8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fPr>
                      <m:num>
                        <m:r>
                          <a:rPr lang="en-US" sz="800" b="0" i="1">
                            <a:latin typeface="Cambria Math"/>
                            <a:ea typeface="Cambria Math"/>
                          </a:rPr>
                          <m:t>𝐶</m:t>
                        </m:r>
                      </m:num>
                      <m:den>
                        <m:r>
                          <a:rPr lang="en-US" sz="800" b="0" i="1">
                            <a:latin typeface="Cambria Math"/>
                            <a:ea typeface="Cambria Math"/>
                          </a:rPr>
                          <m:t>𝐵</m:t>
                        </m:r>
                      </m:den>
                    </m:f>
                  </m:oMath>
                </m:oMathPara>
              </a14:m>
              <a:endParaRPr lang="en-US" sz="800"/>
            </a:p>
          </xdr:txBody>
        </xdr:sp>
      </mc:Choice>
      <mc:Fallback xmlns="">
        <xdr:sp macro="" textlink="">
          <xdr:nvSpPr>
            <xdr:cNvPr id="8" name="TextBox 7"/>
            <xdr:cNvSpPr txBox="1"/>
          </xdr:nvSpPr>
          <xdr:spPr>
            <a:xfrm xmlns:a="http://schemas.openxmlformats.org/drawingml/2006/main">
              <a:off x="2743200" y="10829924"/>
              <a:ext cx="1209675" cy="304801"/>
            </a:xfrm>
            <a:prstGeom xmlns:a="http://schemas.openxmlformats.org/drawingml/2006/main" prst="rect">
              <a:avLst/>
            </a:prstGeom>
            <a:noFill xmlns:a="http://schemas.openxmlformats.org/drawingml/2006/main"/>
          </xdr:spPr>
          <x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xdr:style>
          <xdr:txBody>
            <a:bodyPr xmlns:a="http://schemas.openxmlformats.org/drawingml/2006/main" vertOverflow="clip" horzOverflow="clip" wrap="square" rtlCol="0" anchor="t">
              <a:noAutofit/>
            </a:bodyPr>
            <a:lstStyle xmlns:a="http://schemas.openxmlformats.org/drawingml/2006/main"/>
            <a:p xmlns:a="http://schemas.openxmlformats.org/drawingml/2006/main">
              <a:pPr/>
              <a:r>
                <a:rPr lang="en-US" sz="800" b="0" i="0">
                  <a:latin typeface="Cambria Math"/>
                </a:rPr>
                <a:t>100 </a:t>
              </a:r>
              <a:r>
                <a:rPr lang="en-US" sz="800" b="0" i="0">
                  <a:latin typeface="Cambria Math"/>
                  <a:ea typeface="Cambria Math"/>
                </a:rPr>
                <a:t>×  𝐶/𝐵</a:t>
              </a:r>
              <a:endParaRPr lang="en-US" sz="800"/>
            </a:p>
          </xdr:txBody>
        </xdr:sp>
      </mc:Fallback>
    </mc:AlternateContent>
    <xdr:clientData/>
  </xdr:oneCellAnchor>
  <xdr:oneCellAnchor>
    <xdr:from>
      <xdr:col>12</xdr:col>
      <xdr:colOff>152399</xdr:colOff>
      <xdr:row>196</xdr:row>
      <xdr:rowOff>14288</xdr:rowOff>
    </xdr:from>
    <xdr:ext cx="1971675" cy="4238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/>
            <xdr:cNvSpPr txBox="1"/>
          </xdr:nvSpPr>
          <xdr:spPr>
            <a:xfrm>
              <a:off x="1981199" y="15197138"/>
              <a:ext cx="1971675" cy="4238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sz="800" b="0" i="0">
                        <a:latin typeface="Cambria Math"/>
                      </a:rPr>
                      <m:t>OM</m:t>
                    </m:r>
                    <m:r>
                      <a:rPr lang="en-US" sz="800" b="0" i="0">
                        <a:latin typeface="Cambria Math"/>
                      </a:rPr>
                      <m:t>=[</m:t>
                    </m:r>
                    <m:d>
                      <m:dPr>
                        <m:ctrlPr>
                          <a:rPr lang="en-US" sz="8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8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800" b="0" i="0">
                                <a:latin typeface="Cambria Math"/>
                              </a:rPr>
                              <m:t>100−</m:t>
                            </m:r>
                            <m:r>
                              <m:rPr>
                                <m:sty m:val="p"/>
                              </m:rPr>
                              <a:rPr lang="en-US" sz="800" b="0" i="0">
                                <a:latin typeface="Cambria Math"/>
                              </a:rPr>
                              <m:t>c</m:t>
                            </m:r>
                          </m:num>
                          <m:den>
                            <m:r>
                              <a:rPr lang="en-US" sz="800" b="0" i="0">
                                <a:latin typeface="Cambria Math"/>
                              </a:rPr>
                              <m:t>100</m:t>
                            </m:r>
                          </m:den>
                        </m:f>
                      </m:e>
                    </m:d>
                    <m:r>
                      <a:rPr lang="en-US" sz="800" b="0" i="0">
                        <a:latin typeface="Cambria Math"/>
                        <a:ea typeface="Cambria Math"/>
                      </a:rPr>
                      <m:t>×</m:t>
                    </m:r>
                    <m:r>
                      <m:rPr>
                        <m:sty m:val="p"/>
                      </m:rPr>
                      <a:rPr lang="en-US" sz="800" b="0" i="0">
                        <a:latin typeface="Cambria Math"/>
                        <a:ea typeface="Cambria Math"/>
                      </a:rPr>
                      <m:t>om</m:t>
                    </m:r>
                    <m:r>
                      <a:rPr lang="en-US" sz="800" b="0" i="0">
                        <a:latin typeface="Cambria Math"/>
                        <a:ea typeface="Cambria Math"/>
                      </a:rPr>
                      <m:t>+ </m:t>
                    </m:r>
                    <m:f>
                      <m:fPr>
                        <m:ctrlPr>
                          <a:rPr lang="en-US" sz="8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en-US" sz="800" b="0" i="0">
                            <a:latin typeface="Cambria Math"/>
                            <a:ea typeface="Cambria Math"/>
                          </a:rPr>
                          <m:t>c</m:t>
                        </m:r>
                      </m:num>
                      <m:den>
                        <m:r>
                          <a:rPr lang="en-US" sz="800" b="0" i="0">
                            <a:latin typeface="Cambria Math"/>
                            <a:ea typeface="Cambria Math"/>
                          </a:rPr>
                          <m:t>100</m:t>
                        </m:r>
                      </m:den>
                    </m:f>
                  </m:oMath>
                </m:oMathPara>
              </a14:m>
              <a:endParaRPr lang="en-US" sz="800" i="0"/>
            </a:p>
          </xdr:txBody>
        </xdr:sp>
      </mc:Choice>
      <mc:Fallback xmlns="">
        <xdr:sp macro="" textlink="">
          <xdr:nvSpPr>
            <xdr:cNvPr id="9" name="TextBox 8"/>
            <xdr:cNvSpPr txBox="1"/>
          </xdr:nvSpPr>
          <xdr:spPr>
            <a:xfrm xmlns:a="http://schemas.openxmlformats.org/drawingml/2006/main">
              <a:off x="1981199" y="15197138"/>
              <a:ext cx="1971675" cy="423862"/>
            </a:xfrm>
            <a:prstGeom xmlns:a="http://schemas.openxmlformats.org/drawingml/2006/main" prst="rect">
              <a:avLst/>
            </a:prstGeom>
            <a:noFill xmlns:a="http://schemas.openxmlformats.org/drawingml/2006/main"/>
          </xdr:spPr>
          <x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xdr:style>
          <xdr:txBody>
            <a:bodyPr xmlns:a="http://schemas.openxmlformats.org/drawingml/2006/main" vertOverflow="clip" horzOverflow="clip" wrap="square" rtlCol="0" anchor="ctr">
              <a:noAutofit/>
            </a:bodyPr>
            <a:lstStyle xmlns:a="http://schemas.openxmlformats.org/drawingml/2006/main"/>
            <a:p xmlns:a="http://schemas.openxmlformats.org/drawingml/2006/main">
              <a:pPr/>
              <a:r>
                <a:rPr lang="en-US" sz="800" b="0" i="0">
                  <a:latin typeface="Cambria Math"/>
                </a:rPr>
                <a:t>OM=[((100−c)/100)</a:t>
              </a:r>
              <a:r>
                <a:rPr lang="en-US" sz="800" b="0" i="0">
                  <a:latin typeface="Cambria Math"/>
                  <a:ea typeface="Cambria Math"/>
                </a:rPr>
                <a:t>×om+  c/100</a:t>
              </a:r>
              <a:endParaRPr lang="en-US" sz="800" i="0"/>
            </a:p>
          </xdr:txBody>
        </xdr:sp>
      </mc:Fallback>
    </mc:AlternateContent>
    <xdr:clientData/>
  </xdr:oneCellAnchor>
  <xdr:oneCellAnchor>
    <xdr:from>
      <xdr:col>13</xdr:col>
      <xdr:colOff>0</xdr:colOff>
      <xdr:row>201</xdr:row>
      <xdr:rowOff>76199</xdr:rowOff>
    </xdr:from>
    <xdr:ext cx="1981200" cy="6191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/>
            <xdr:cNvSpPr txBox="1"/>
          </xdr:nvSpPr>
          <xdr:spPr>
            <a:xfrm>
              <a:off x="1981200" y="15640049"/>
              <a:ext cx="1981200" cy="6191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sz="800" b="0" i="0">
                        <a:latin typeface="Cambria Math"/>
                      </a:rPr>
                      <m:t>PR</m:t>
                    </m:r>
                    <m:r>
                      <a:rPr lang="en-US" sz="800" b="0" i="0">
                        <a:latin typeface="Cambria Math"/>
                      </a:rPr>
                      <m:t>= </m:t>
                    </m:r>
                    <m:f>
                      <m:fPr>
                        <m:ctrlPr>
                          <a:rPr lang="en-US" sz="8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800" b="0" i="0">
                            <a:latin typeface="Cambria Math"/>
                          </a:rPr>
                          <m:t>160</m:t>
                        </m:r>
                        <m:r>
                          <a:rPr lang="en-US" sz="800" b="0" i="0">
                            <a:latin typeface="Cambria Math"/>
                            <a:ea typeface="Cambria Math"/>
                          </a:rPr>
                          <m:t>×</m:t>
                        </m:r>
                        <m:r>
                          <m:rPr>
                            <m:sty m:val="p"/>
                          </m:rPr>
                          <a:rPr lang="en-US" sz="800" b="0" i="0">
                            <a:latin typeface="Cambria Math"/>
                            <a:ea typeface="Cambria Math"/>
                          </a:rPr>
                          <m:t>pr</m:t>
                        </m:r>
                        <m:r>
                          <a:rPr lang="en-US" sz="800" b="0" i="0">
                            <a:latin typeface="Cambria Math"/>
                            <a:ea typeface="Cambria Math"/>
                          </a:rPr>
                          <m:t>×</m:t>
                        </m:r>
                        <m:r>
                          <m:rPr>
                            <m:sty m:val="p"/>
                          </m:rPr>
                          <a:rPr lang="en-US" sz="800" b="0" i="0">
                            <a:latin typeface="Cambria Math"/>
                            <a:ea typeface="Cambria Math"/>
                          </a:rPr>
                          <m:t>z</m:t>
                        </m:r>
                      </m:num>
                      <m:den>
                        <m:f>
                          <m:fPr>
                            <m:ctrlPr>
                              <a:rPr lang="en-US" sz="8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m:rPr>
                                <m:sty m:val="p"/>
                              </m:rPr>
                              <a:rPr lang="en-US" sz="800" b="0" i="0">
                                <a:latin typeface="Cambria Math"/>
                              </a:rPr>
                              <m:t>c</m:t>
                            </m:r>
                          </m:num>
                          <m:den>
                            <m:r>
                              <a:rPr lang="en-US" sz="800" b="0" i="0">
                                <a:latin typeface="Cambria Math"/>
                              </a:rPr>
                              <m:t>100</m:t>
                            </m:r>
                          </m:den>
                        </m:f>
                        <m:r>
                          <a:rPr lang="en-US" sz="800" b="0" i="0">
                            <a:latin typeface="Cambria Math"/>
                            <a:ea typeface="Cambria Math"/>
                          </a:rPr>
                          <m:t>×</m:t>
                        </m:r>
                        <m:r>
                          <m:rPr>
                            <m:sty m:val="p"/>
                          </m:rPr>
                          <a:rPr lang="en-US" sz="800" b="0" i="0">
                            <a:latin typeface="Cambria Math"/>
                            <a:ea typeface="Cambria Math"/>
                          </a:rPr>
                          <m:t>pr</m:t>
                        </m:r>
                        <m:r>
                          <a:rPr lang="en-US" sz="800" b="0" i="0">
                            <a:latin typeface="Cambria Math"/>
                            <a:ea typeface="Cambria Math"/>
                          </a:rPr>
                          <m:t>×</m:t>
                        </m:r>
                        <m:r>
                          <m:rPr>
                            <m:sty m:val="p"/>
                          </m:rPr>
                          <a:rPr lang="en-US" sz="800" b="0" i="0">
                            <a:latin typeface="Cambria Math"/>
                            <a:ea typeface="Cambria Math"/>
                          </a:rPr>
                          <m:t>z</m:t>
                        </m:r>
                        <m:r>
                          <a:rPr lang="en-US" sz="800" b="0" i="0">
                            <a:latin typeface="Cambria Math"/>
                            <a:ea typeface="Cambria Math"/>
                          </a:rPr>
                          <m:t>+[160×</m:t>
                        </m:r>
                        <m:d>
                          <m:dPr>
                            <m:ctrlPr>
                              <a:rPr lang="en-US" sz="8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US" sz="800" b="0" i="0">
                                <a:latin typeface="Cambria Math"/>
                                <a:ea typeface="Cambria Math"/>
                              </a:rPr>
                              <m:t>1−</m:t>
                            </m:r>
                            <m:f>
                              <m:fPr>
                                <m:ctrlPr>
                                  <a:rPr lang="en-US" sz="800" b="0" i="1">
                                    <a:latin typeface="Cambria Math" panose="02040503050406030204" pitchFamily="18" charset="0"/>
                                    <a:ea typeface="Cambria Math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sty m:val="p"/>
                                  </m:rPr>
                                  <a:rPr lang="en-US" sz="800" b="0" i="0">
                                    <a:latin typeface="Cambria Math"/>
                                    <a:ea typeface="Cambria Math"/>
                                  </a:rPr>
                                  <m:t>c</m:t>
                                </m:r>
                              </m:num>
                              <m:den>
                                <m:r>
                                  <a:rPr lang="en-US" sz="800" b="0" i="0">
                                    <a:latin typeface="Cambria Math"/>
                                    <a:ea typeface="Cambria Math"/>
                                  </a:rPr>
                                  <m:t>100</m:t>
                                </m:r>
                              </m:den>
                            </m:f>
                          </m:e>
                        </m:d>
                        <m:r>
                          <a:rPr lang="en-US" sz="800" b="0" i="0">
                            <a:latin typeface="Cambria Math"/>
                            <a:ea typeface="Cambria Math"/>
                          </a:rPr>
                          <m:t>]</m:t>
                        </m:r>
                      </m:den>
                    </m:f>
                  </m:oMath>
                </m:oMathPara>
              </a14:m>
              <a:endParaRPr lang="en-US" sz="800" i="0"/>
            </a:p>
          </xdr:txBody>
        </xdr:sp>
      </mc:Choice>
      <mc:Fallback xmlns="">
        <xdr:sp macro="" textlink="">
          <xdr:nvSpPr>
            <xdr:cNvPr id="10" name="TextBox 9"/>
            <xdr:cNvSpPr txBox="1"/>
          </xdr:nvSpPr>
          <xdr:spPr>
            <a:xfrm xmlns:a="http://schemas.openxmlformats.org/drawingml/2006/main">
              <a:off x="1981200" y="15640049"/>
              <a:ext cx="1981200" cy="619125"/>
            </a:xfrm>
            <a:prstGeom xmlns:a="http://schemas.openxmlformats.org/drawingml/2006/main" prst="rect">
              <a:avLst/>
            </a:prstGeom>
            <a:noFill xmlns:a="http://schemas.openxmlformats.org/drawingml/2006/main"/>
          </xdr:spPr>
          <x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xdr:style>
          <xdr:txBody>
            <a:bodyPr xmlns:a="http://schemas.openxmlformats.org/drawingml/2006/main" vertOverflow="clip" horzOverflow="clip" wrap="square" rtlCol="0" anchor="ctr">
              <a:noAutofit/>
            </a:bodyPr>
            <a:lstStyle xmlns:a="http://schemas.openxmlformats.org/drawingml/2006/main"/>
            <a:p xmlns:a="http://schemas.openxmlformats.org/drawingml/2006/main">
              <a:pPr/>
              <a:r>
                <a:rPr lang="en-US" sz="800" b="0" i="0">
                  <a:latin typeface="Cambria Math"/>
                </a:rPr>
                <a:t>PR=  (160</a:t>
              </a:r>
              <a:r>
                <a:rPr lang="en-US" sz="800" b="0" i="0">
                  <a:latin typeface="Cambria Math"/>
                  <a:ea typeface="Cambria Math"/>
                </a:rPr>
                <a:t>×pr×z)/(</a:t>
              </a:r>
              <a:r>
                <a:rPr lang="en-US" sz="800" b="0" i="0">
                  <a:latin typeface="Cambria Math"/>
                </a:rPr>
                <a:t>c/100</a:t>
              </a:r>
              <a:r>
                <a:rPr lang="en-US" sz="800" b="0" i="0">
                  <a:latin typeface="Cambria Math"/>
                  <a:ea typeface="Cambria Math"/>
                </a:rPr>
                <a:t>×pr×z+[160×(1−c/100)])</a:t>
              </a:r>
              <a:endParaRPr lang="en-US" sz="800" i="0"/>
            </a:p>
          </xdr:txBody>
        </xdr:sp>
      </mc:Fallback>
    </mc:AlternateContent>
    <xdr:clientData/>
  </xdr:oneCellAnchor>
  <xdr:oneCellAnchor>
    <xdr:from>
      <xdr:col>12</xdr:col>
      <xdr:colOff>142875</xdr:colOff>
      <xdr:row>209</xdr:row>
      <xdr:rowOff>66674</xdr:rowOff>
    </xdr:from>
    <xdr:ext cx="1981200" cy="6191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/>
            <xdr:cNvSpPr txBox="1"/>
          </xdr:nvSpPr>
          <xdr:spPr>
            <a:xfrm>
              <a:off x="1971675" y="16240124"/>
              <a:ext cx="1981200" cy="6191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sz="800" b="0" i="0">
                        <a:latin typeface="Cambria Math"/>
                      </a:rPr>
                      <m:t>PR</m:t>
                    </m:r>
                    <m:r>
                      <a:rPr lang="en-US" sz="800" b="0" i="0">
                        <a:latin typeface="Cambria Math"/>
                      </a:rPr>
                      <m:t>= </m:t>
                    </m:r>
                    <m:f>
                      <m:fPr>
                        <m:ctrlPr>
                          <a:rPr lang="en-US" sz="8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800" b="0" i="0">
                            <a:latin typeface="Cambria Math"/>
                          </a:rPr>
                          <m:t>2564</m:t>
                        </m:r>
                        <m:r>
                          <a:rPr lang="en-US" sz="800" b="0" i="0">
                            <a:latin typeface="Cambria Math"/>
                            <a:ea typeface="Cambria Math"/>
                          </a:rPr>
                          <m:t>×</m:t>
                        </m:r>
                        <m:r>
                          <m:rPr>
                            <m:sty m:val="p"/>
                          </m:rPr>
                          <a:rPr lang="en-US" sz="800" b="0" i="0">
                            <a:latin typeface="Cambria Math"/>
                            <a:ea typeface="Cambria Math"/>
                          </a:rPr>
                          <m:t>pr</m:t>
                        </m:r>
                        <m:r>
                          <a:rPr lang="en-US" sz="800" b="0" i="0">
                            <a:latin typeface="Cambria Math"/>
                            <a:ea typeface="Cambria Math"/>
                          </a:rPr>
                          <m:t>×</m:t>
                        </m:r>
                        <m:r>
                          <m:rPr>
                            <m:sty m:val="p"/>
                          </m:rPr>
                          <a:rPr lang="en-US" sz="800" b="0" i="0">
                            <a:latin typeface="Cambria Math"/>
                            <a:ea typeface="Cambria Math"/>
                          </a:rPr>
                          <m:t>z</m:t>
                        </m:r>
                      </m:num>
                      <m:den>
                        <m:f>
                          <m:fPr>
                            <m:ctrlPr>
                              <a:rPr lang="en-US" sz="8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m:rPr>
                                <m:sty m:val="p"/>
                              </m:rPr>
                              <a:rPr lang="en-US" sz="800" b="0" i="0">
                                <a:latin typeface="Cambria Math"/>
                              </a:rPr>
                              <m:t>c</m:t>
                            </m:r>
                          </m:num>
                          <m:den>
                            <m:r>
                              <a:rPr lang="en-US" sz="800" b="0" i="0">
                                <a:latin typeface="Cambria Math"/>
                              </a:rPr>
                              <m:t>100</m:t>
                            </m:r>
                          </m:den>
                        </m:f>
                        <m:r>
                          <a:rPr lang="en-US" sz="800" b="0" i="0">
                            <a:latin typeface="Cambria Math"/>
                            <a:ea typeface="Cambria Math"/>
                          </a:rPr>
                          <m:t>×</m:t>
                        </m:r>
                        <m:r>
                          <m:rPr>
                            <m:sty m:val="p"/>
                          </m:rPr>
                          <a:rPr lang="en-US" sz="800" b="0" i="0">
                            <a:latin typeface="Cambria Math"/>
                            <a:ea typeface="Cambria Math"/>
                          </a:rPr>
                          <m:t>pr</m:t>
                        </m:r>
                        <m:r>
                          <a:rPr lang="en-US" sz="800" b="0" i="0">
                            <a:latin typeface="Cambria Math"/>
                            <a:ea typeface="Cambria Math"/>
                          </a:rPr>
                          <m:t>×</m:t>
                        </m:r>
                        <m:r>
                          <m:rPr>
                            <m:sty m:val="p"/>
                          </m:rPr>
                          <a:rPr lang="en-US" sz="800" b="0" i="0">
                            <a:latin typeface="Cambria Math"/>
                            <a:ea typeface="Cambria Math"/>
                          </a:rPr>
                          <m:t>z</m:t>
                        </m:r>
                        <m:r>
                          <a:rPr lang="en-US" sz="800" b="0" i="0">
                            <a:latin typeface="Cambria Math"/>
                            <a:ea typeface="Cambria Math"/>
                          </a:rPr>
                          <m:t>+[2564×</m:t>
                        </m:r>
                        <m:d>
                          <m:dPr>
                            <m:ctrlPr>
                              <a:rPr lang="en-US" sz="8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US" sz="800" b="0" i="0">
                                <a:latin typeface="Cambria Math"/>
                                <a:ea typeface="Cambria Math"/>
                              </a:rPr>
                              <m:t>1−</m:t>
                            </m:r>
                            <m:f>
                              <m:fPr>
                                <m:ctrlPr>
                                  <a:rPr lang="en-US" sz="800" b="0" i="1">
                                    <a:latin typeface="Cambria Math" panose="02040503050406030204" pitchFamily="18" charset="0"/>
                                    <a:ea typeface="Cambria Math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sty m:val="p"/>
                                  </m:rPr>
                                  <a:rPr lang="en-US" sz="800" b="0" i="0">
                                    <a:latin typeface="Cambria Math"/>
                                    <a:ea typeface="Cambria Math"/>
                                  </a:rPr>
                                  <m:t>c</m:t>
                                </m:r>
                              </m:num>
                              <m:den>
                                <m:r>
                                  <a:rPr lang="en-US" sz="800" b="0" i="0">
                                    <a:latin typeface="Cambria Math"/>
                                    <a:ea typeface="Cambria Math"/>
                                  </a:rPr>
                                  <m:t>100</m:t>
                                </m:r>
                              </m:den>
                            </m:f>
                          </m:e>
                        </m:d>
                        <m:r>
                          <a:rPr lang="en-US" sz="800" b="0" i="0">
                            <a:latin typeface="Cambria Math"/>
                            <a:ea typeface="Cambria Math"/>
                          </a:rPr>
                          <m:t>]</m:t>
                        </m:r>
                      </m:den>
                    </m:f>
                  </m:oMath>
                </m:oMathPara>
              </a14:m>
              <a:endParaRPr lang="en-US" sz="800" i="0"/>
            </a:p>
          </xdr:txBody>
        </xdr:sp>
      </mc:Choice>
      <mc:Fallback xmlns="">
        <xdr:sp macro="" textlink="">
          <xdr:nvSpPr>
            <xdr:cNvPr id="11" name="TextBox 10"/>
            <xdr:cNvSpPr txBox="1"/>
          </xdr:nvSpPr>
          <xdr:spPr>
            <a:xfrm xmlns:a="http://schemas.openxmlformats.org/drawingml/2006/main">
              <a:off x="1971675" y="16240124"/>
              <a:ext cx="1981200" cy="619125"/>
            </a:xfrm>
            <a:prstGeom xmlns:a="http://schemas.openxmlformats.org/drawingml/2006/main" prst="rect">
              <a:avLst/>
            </a:prstGeom>
            <a:noFill xmlns:a="http://schemas.openxmlformats.org/drawingml/2006/main"/>
          </xdr:spPr>
          <x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xdr:style>
          <xdr:txBody>
            <a:bodyPr xmlns:a="http://schemas.openxmlformats.org/drawingml/2006/main" vertOverflow="clip" horzOverflow="clip" wrap="square" rtlCol="0" anchor="ctr">
              <a:noAutofit/>
            </a:bodyPr>
            <a:lstStyle xmlns:a="http://schemas.openxmlformats.org/drawingml/2006/main"/>
            <a:p xmlns:a="http://schemas.openxmlformats.org/drawingml/2006/main">
              <a:pPr/>
              <a:r>
                <a:rPr lang="en-US" sz="800" b="0" i="0">
                  <a:latin typeface="Cambria Math"/>
                </a:rPr>
                <a:t>PR=  (2564</a:t>
              </a:r>
              <a:r>
                <a:rPr lang="en-US" sz="800" b="0" i="0">
                  <a:latin typeface="Cambria Math"/>
                  <a:ea typeface="Cambria Math"/>
                </a:rPr>
                <a:t>×pr×z)/(</a:t>
              </a:r>
              <a:r>
                <a:rPr lang="en-US" sz="800" b="0" i="0">
                  <a:latin typeface="Cambria Math"/>
                </a:rPr>
                <a:t>c/100</a:t>
              </a:r>
              <a:r>
                <a:rPr lang="en-US" sz="800" b="0" i="0">
                  <a:latin typeface="Cambria Math"/>
                  <a:ea typeface="Cambria Math"/>
                </a:rPr>
                <a:t>×pr×z+[2564×(1−c/100)])</a:t>
              </a:r>
              <a:endParaRPr lang="en-US" sz="800" i="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104774</xdr:colOff>
      <xdr:row>0</xdr:row>
      <xdr:rowOff>33337</xdr:rowOff>
    </xdr:from>
    <xdr:ext cx="1914526" cy="4524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/>
            <xdr:cNvSpPr txBox="1"/>
          </xdr:nvSpPr>
          <xdr:spPr>
            <a:xfrm>
              <a:off x="4314824" y="33337"/>
              <a:ext cx="1914526" cy="4524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en-US" sz="1400" b="0" i="1">
                      <a:latin typeface="Cambria Math"/>
                    </a:rPr>
                    <m:t>𝑀𝑐</m:t>
                  </m:r>
                  <m:r>
                    <a:rPr lang="en-US" sz="1400" b="0" i="1">
                      <a:latin typeface="Cambria Math"/>
                    </a:rPr>
                    <m:t>=(</m:t>
                  </m:r>
                  <m:f>
                    <m:fPr>
                      <m:ctrlPr>
                        <a:rPr lang="en-US" sz="14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1400" b="0" i="1">
                          <a:latin typeface="Cambria Math"/>
                        </a:rPr>
                        <m:t>62.4</m:t>
                      </m:r>
                    </m:num>
                    <m:den>
                      <m:r>
                        <a:rPr lang="en-US" sz="1400" b="0" i="1">
                          <a:latin typeface="Cambria Math"/>
                        </a:rPr>
                        <m:t>𝐷𝐷</m:t>
                      </m:r>
                    </m:den>
                  </m:f>
                  <m:r>
                    <a:rPr lang="en-US" sz="1400" b="0" i="1">
                      <a:latin typeface="Cambria Math"/>
                    </a:rPr>
                    <m:t> −</m:t>
                  </m:r>
                  <m:f>
                    <m:fPr>
                      <m:ctrlPr>
                        <a:rPr lang="en-US" sz="14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1400" b="0" i="1">
                          <a:latin typeface="Cambria Math"/>
                        </a:rPr>
                        <m:t>1</m:t>
                      </m:r>
                    </m:num>
                    <m:den>
                      <m:r>
                        <a:rPr lang="en-US" sz="1400" b="0" i="1">
                          <a:latin typeface="Cambria Math"/>
                        </a:rPr>
                        <m:t>𝐺𝑠</m:t>
                      </m:r>
                    </m:den>
                  </m:f>
                </m:oMath>
              </a14:m>
              <a:r>
                <a:rPr lang="en-US" sz="1400"/>
                <a:t>) * 100</a:t>
              </a:r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 xmlns:a="http://schemas.openxmlformats.org/drawingml/2006/main">
              <a:off x="4314824" y="33337"/>
              <a:ext cx="1914526" cy="452438"/>
            </a:xfrm>
            <a:prstGeom xmlns:a="http://schemas.openxmlformats.org/drawingml/2006/main" prst="rect">
              <a:avLst/>
            </a:prstGeom>
            <a:noFill xmlns:a="http://schemas.openxmlformats.org/drawingml/2006/main"/>
          </xdr:spPr>
          <x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xdr:style>
          <xdr:txBody>
            <a:bodyPr xmlns:a="http://schemas.openxmlformats.org/drawingml/2006/main" vertOverflow="clip" horzOverflow="clip" wrap="square" rtlCol="0" anchor="t">
              <a:noAutofit/>
            </a:bodyPr>
            <a:lstStyle xmlns:a="http://schemas.openxmlformats.org/drawingml/2006/main"/>
            <a:p xmlns:a="http://schemas.openxmlformats.org/drawingml/2006/main">
              <a:r>
                <a:rPr lang="en-US" sz="1400" b="0" i="0">
                  <a:latin typeface="Cambria Math"/>
                </a:rPr>
                <a:t>𝑀𝑐=(62.4/𝐷𝐷  −1/𝐺𝑠</a:t>
              </a:r>
              <a:r>
                <a:rPr lang="en-US" sz="1400"/>
                <a:t>) * 100</a:t>
              </a:r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6807" cy="628084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0.58734</cdr:x>
      <cdr:y>0.02626</cdr:y>
    </cdr:from>
    <cdr:to>
      <cdr:x>0.83295</cdr:x>
      <cdr:y>0.07458</cdr:y>
    </cdr:to>
    <cdr:sp macro="" textlink="'D&amp;M Meth B Comp'!$M$11">
      <cdr:nvSpPr>
        <cdr:cNvPr id="2" name="Rectangle 1"/>
        <cdr:cNvSpPr/>
      </cdr:nvSpPr>
      <cdr:spPr>
        <a:xfrm xmlns:a="http://schemas.openxmlformats.org/drawingml/2006/main">
          <a:off x="5093229" y="165365"/>
          <a:ext cx="2129896" cy="304271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fld id="{A509D38D-E585-4985-844F-EC3AE2E00924}" type="TxLink">
            <a:rPr lang="en-US"/>
            <a:pPr/>
            <a:t>Opt. Moisture Content = 16.3 %</a:t>
          </a:fld>
          <a:endParaRPr lang="en-US"/>
        </a:p>
      </cdr:txBody>
    </cdr:sp>
  </cdr:relSizeAnchor>
  <cdr:relSizeAnchor xmlns:cdr="http://schemas.openxmlformats.org/drawingml/2006/chartDrawing">
    <cdr:from>
      <cdr:x>0.58786</cdr:x>
      <cdr:y>0.08265</cdr:y>
    </cdr:from>
    <cdr:to>
      <cdr:x>0.83347</cdr:x>
      <cdr:y>0.13097</cdr:y>
    </cdr:to>
    <cdr:sp macro="" textlink="'D&amp;M Meth B Comp'!$M$12">
      <cdr:nvSpPr>
        <cdr:cNvPr id="3" name="Rectangle 2"/>
        <cdr:cNvSpPr/>
      </cdr:nvSpPr>
      <cdr:spPr>
        <a:xfrm xmlns:a="http://schemas.openxmlformats.org/drawingml/2006/main">
          <a:off x="5097728" y="520435"/>
          <a:ext cx="2129896" cy="304271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1FA9C12-CB07-4786-BE76-FC5AB8000344}" type="TxLink">
            <a:rPr lang="en-US"/>
            <a:pPr/>
            <a:t>Max Dry Density = 109.9 lb/ft³</a:t>
          </a:fld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6807" cy="628084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0.73927</cdr:x>
      <cdr:y>0.10719</cdr:y>
    </cdr:from>
    <cdr:to>
      <cdr:x>0.98488</cdr:x>
      <cdr:y>0.15551</cdr:y>
    </cdr:to>
    <cdr:sp macro="" textlink="'418 Helper'!$H$43">
      <cdr:nvSpPr>
        <cdr:cNvPr id="5" name="Rectangle 4"/>
        <cdr:cNvSpPr/>
      </cdr:nvSpPr>
      <cdr:spPr>
        <a:xfrm xmlns:a="http://schemas.openxmlformats.org/drawingml/2006/main">
          <a:off x="6407087" y="673226"/>
          <a:ext cx="2128655" cy="30349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75CB1F3-4B48-41D1-AF0B-6C5C79E931AA}" type="TxLink">
            <a:rPr lang="en-US"/>
            <a:pPr/>
            <a:t>WWD Opt Moisture = 16.1%</a:t>
          </a:fld>
          <a:endParaRPr lang="en-US"/>
        </a:p>
      </cdr:txBody>
    </cdr:sp>
  </cdr:relSizeAnchor>
  <cdr:relSizeAnchor xmlns:cdr="http://schemas.openxmlformats.org/drawingml/2006/chartDrawing">
    <cdr:from>
      <cdr:x>0.73927</cdr:x>
      <cdr:y>0.04863</cdr:y>
    </cdr:from>
    <cdr:to>
      <cdr:x>0.98488</cdr:x>
      <cdr:y>0.09695</cdr:y>
    </cdr:to>
    <cdr:sp macro="" textlink="'418 Helper'!$H$42">
      <cdr:nvSpPr>
        <cdr:cNvPr id="6" name="Rectangle 5"/>
        <cdr:cNvSpPr/>
      </cdr:nvSpPr>
      <cdr:spPr>
        <a:xfrm xmlns:a="http://schemas.openxmlformats.org/drawingml/2006/main">
          <a:off x="6407087" y="305429"/>
          <a:ext cx="2128655" cy="30349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3D19400-8EA7-43C4-95C8-6BCE4AAE5448}" type="TxLink">
            <a:rPr lang="en-US" sz="1000" b="0" i="0" u="none" strike="noStrike">
              <a:solidFill>
                <a:schemeClr val="bg1"/>
              </a:solidFill>
              <a:latin typeface="Arial"/>
              <a:cs typeface="Arial"/>
            </a:rPr>
            <a:pPr/>
            <a:t>WWD Max Density = 127.7lb/ft^3</a:t>
          </a:fld>
          <a:endParaRPr lang="en-US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0.74036</cdr:x>
      <cdr:y>0.17025</cdr:y>
    </cdr:from>
    <cdr:to>
      <cdr:x>0.98597</cdr:x>
      <cdr:y>0.21857</cdr:y>
    </cdr:to>
    <cdr:sp macro="" textlink="'418 Helper'!$H$45">
      <cdr:nvSpPr>
        <cdr:cNvPr id="9" name="Rectangle 8"/>
        <cdr:cNvSpPr/>
      </cdr:nvSpPr>
      <cdr:spPr>
        <a:xfrm xmlns:a="http://schemas.openxmlformats.org/drawingml/2006/main">
          <a:off x="6416518" y="1069314"/>
          <a:ext cx="2128655" cy="30349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2">
            <a:shade val="50000"/>
          </a:schemeClr>
        </a:lnRef>
        <a:fillRef xmlns:a="http://schemas.openxmlformats.org/drawingml/2006/main" idx="1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B1864AB-1BC8-41AF-89C9-16539BCD22E5}" type="TxLink">
            <a:rPr lang="en-US"/>
            <a:pPr/>
            <a:t>DWD Max Density = 110.1lb/ft^3</a:t>
          </a:fld>
          <a:endParaRPr lang="en-US"/>
        </a:p>
      </cdr:txBody>
    </cdr:sp>
  </cdr:relSizeAnchor>
  <cdr:relSizeAnchor xmlns:cdr="http://schemas.openxmlformats.org/drawingml/2006/chartDrawing">
    <cdr:from>
      <cdr:x>0.74253</cdr:x>
      <cdr:y>0.23181</cdr:y>
    </cdr:from>
    <cdr:to>
      <cdr:x>0.98814</cdr:x>
      <cdr:y>0.28013</cdr:y>
    </cdr:to>
    <cdr:sp macro="" textlink="'418 Helper'!$H$46">
      <cdr:nvSpPr>
        <cdr:cNvPr id="10" name="Rectangle 9"/>
        <cdr:cNvSpPr/>
      </cdr:nvSpPr>
      <cdr:spPr>
        <a:xfrm xmlns:a="http://schemas.openxmlformats.org/drawingml/2006/main">
          <a:off x="6435380" y="1455974"/>
          <a:ext cx="2128655" cy="30349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2">
            <a:shade val="50000"/>
          </a:schemeClr>
        </a:lnRef>
        <a:fillRef xmlns:a="http://schemas.openxmlformats.org/drawingml/2006/main" idx="1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46D452F-A410-4DD1-83B4-D7CD05AFD509}" type="TxLink">
            <a:rPr lang="en-US"/>
            <a:pPr/>
            <a:t>DWD Opt Moisture = 16%</a:t>
          </a:fld>
          <a:endParaRPr 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34</xdr:col>
      <xdr:colOff>9525</xdr:colOff>
      <xdr:row>36</xdr:row>
      <xdr:rowOff>4763</xdr:rowOff>
    </xdr:from>
    <xdr:ext cx="914400" cy="3571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5191125" y="2671763"/>
              <a:ext cx="914400" cy="3571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sz="800" b="0" i="0">
                        <a:latin typeface="Cambria Math"/>
                      </a:rPr>
                      <m:t>P</m:t>
                    </m:r>
                    <m:r>
                      <a:rPr lang="en-US" sz="800" b="0" i="0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n-US" sz="8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800" b="0" i="1">
                            <a:latin typeface="Cambria Math"/>
                          </a:rPr>
                          <m:t>𝐻</m:t>
                        </m:r>
                      </m:num>
                      <m:den>
                        <m:r>
                          <a:rPr lang="en-US" sz="800" b="0" i="1">
                            <a:latin typeface="Cambria Math"/>
                          </a:rPr>
                          <m:t>𝑊</m:t>
                        </m:r>
                      </m:den>
                    </m:f>
                    <m:r>
                      <a:rPr lang="en-US" sz="800" b="0" i="1">
                        <a:latin typeface="Cambria Math"/>
                      </a:rPr>
                      <m:t>∗100</m:t>
                    </m:r>
                  </m:oMath>
                </m:oMathPara>
              </a14:m>
              <a:endParaRPr lang="en-US" sz="800" i="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 xmlns:a="http://schemas.openxmlformats.org/drawingml/2006/main">
              <a:off x="5191125" y="2671763"/>
              <a:ext cx="914400" cy="357188"/>
            </a:xfrm>
            <a:prstGeom xmlns:a="http://schemas.openxmlformats.org/drawingml/2006/main" prst="rect">
              <a:avLst/>
            </a:prstGeom>
            <a:noFill xmlns:a="http://schemas.openxmlformats.org/drawingml/2006/main"/>
          </xdr:spPr>
          <x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xdr:style>
          <xdr:txBody>
            <a:bodyPr xmlns:a="http://schemas.openxmlformats.org/drawingml/2006/main" vertOverflow="clip" horzOverflow="clip" rtlCol="0" anchor="t">
              <a:noAutofit/>
            </a:bodyPr>
            <a:lstStyle xmlns:a="http://schemas.openxmlformats.org/drawingml/2006/main"/>
            <a:p xmlns:a="http://schemas.openxmlformats.org/drawingml/2006/main">
              <a:pPr/>
              <a:r>
                <a:rPr lang="en-US" sz="800" b="0" i="0">
                  <a:latin typeface="Cambria Math"/>
                </a:rPr>
                <a:t>P=𝐻/𝑊∗100</a:t>
              </a:r>
              <a:endParaRPr lang="en-US" sz="800" i="0"/>
            </a:p>
          </xdr:txBody>
        </xdr:sp>
      </mc:Fallback>
    </mc:AlternateContent>
    <xdr:clientData/>
  </xdr:oneCellAnchor>
  <xdr:oneCellAnchor>
    <xdr:from>
      <xdr:col>39</xdr:col>
      <xdr:colOff>142875</xdr:colOff>
      <xdr:row>35</xdr:row>
      <xdr:rowOff>38101</xdr:rowOff>
    </xdr:from>
    <xdr:ext cx="914400" cy="4476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6086475" y="2409826"/>
              <a:ext cx="914400" cy="4476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sz="800" b="0" i="0">
                        <a:latin typeface="Cambria Math"/>
                      </a:rPr>
                      <m:t>D</m:t>
                    </m:r>
                    <m:r>
                      <a:rPr lang="en-US" sz="800" b="0" i="0">
                        <a:latin typeface="Cambria Math"/>
                      </a:rPr>
                      <m:t>=</m:t>
                    </m:r>
                    <m:r>
                      <m:rPr>
                        <m:sty m:val="p"/>
                      </m:rPr>
                      <a:rPr lang="en-US" sz="800" b="0" i="0">
                        <a:latin typeface="Cambria Math"/>
                      </a:rPr>
                      <m:t>K</m:t>
                    </m:r>
                    <m:rad>
                      <m:radPr>
                        <m:degHide m:val="on"/>
                        <m:ctrlPr>
                          <a:rPr lang="en-US" sz="8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en-US" sz="8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800" b="0" i="1">
                                <a:latin typeface="Cambria Math"/>
                              </a:rPr>
                              <m:t>𝐿</m:t>
                            </m:r>
                          </m:num>
                          <m:den>
                            <m:r>
                              <a:rPr lang="en-US" sz="800" b="0" i="1">
                                <a:latin typeface="Cambria Math"/>
                              </a:rPr>
                              <m:t>𝑇</m:t>
                            </m:r>
                          </m:den>
                        </m:f>
                      </m:e>
                    </m:rad>
                  </m:oMath>
                </m:oMathPara>
              </a14:m>
              <a:endParaRPr lang="en-US" sz="800" i="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 xmlns:a="http://schemas.openxmlformats.org/drawingml/2006/main">
              <a:off x="6086475" y="2409826"/>
              <a:ext cx="914400" cy="447674"/>
            </a:xfrm>
            <a:prstGeom xmlns:a="http://schemas.openxmlformats.org/drawingml/2006/main" prst="rect">
              <a:avLst/>
            </a:prstGeom>
            <a:noFill xmlns:a="http://schemas.openxmlformats.org/drawingml/2006/main"/>
          </xdr:spPr>
          <x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xdr:style>
          <xdr:txBody>
            <a:bodyPr xmlns:a="http://schemas.openxmlformats.org/drawingml/2006/main" vertOverflow="clip" horzOverflow="clip" rtlCol="0" anchor="t">
              <a:noAutofit/>
            </a:bodyPr>
            <a:lstStyle xmlns:a="http://schemas.openxmlformats.org/drawingml/2006/main"/>
            <a:p xmlns:a="http://schemas.openxmlformats.org/drawingml/2006/main">
              <a:pPr/>
              <a:r>
                <a:rPr lang="en-US" sz="800" b="0" i="0">
                  <a:latin typeface="Cambria Math"/>
                </a:rPr>
                <a:t>D=K√(𝐿/𝑇)</a:t>
              </a:r>
              <a:endParaRPr lang="en-US" sz="800" i="0"/>
            </a:p>
          </xdr:txBody>
        </xdr:sp>
      </mc:Fallback>
    </mc:AlternateContent>
    <xdr:clientData/>
  </xdr:oneCellAnchor>
  <xdr:oneCellAnchor>
    <xdr:from>
      <xdr:col>0</xdr:col>
      <xdr:colOff>123825</xdr:colOff>
      <xdr:row>165</xdr:row>
      <xdr:rowOff>61912</xdr:rowOff>
    </xdr:from>
    <xdr:ext cx="962026" cy="3516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/>
          </xdr:nvSpPr>
          <xdr:spPr>
            <a:xfrm>
              <a:off x="123825" y="11244262"/>
              <a:ext cx="962026" cy="3516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9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en-US" sz="900" b="0" i="0">
                            <a:latin typeface="Cambria Math"/>
                          </a:rPr>
                          <m:t>A</m:t>
                        </m:r>
                        <m:r>
                          <a:rPr lang="en-US" sz="900" b="0" i="0">
                            <a:latin typeface="Cambria Math"/>
                          </a:rPr>
                          <m:t>−</m:t>
                        </m:r>
                        <m:r>
                          <m:rPr>
                            <m:sty m:val="p"/>
                          </m:rPr>
                          <a:rPr lang="en-US" sz="900" b="0" i="0">
                            <a:latin typeface="Cambria Math"/>
                          </a:rPr>
                          <m:t>B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en-US" sz="900" b="0" i="0">
                            <a:latin typeface="Cambria Math"/>
                          </a:rPr>
                          <m:t>B</m:t>
                        </m:r>
                      </m:den>
                    </m:f>
                    <m:r>
                      <a:rPr lang="en-US" sz="900" i="0">
                        <a:latin typeface="Cambria Math"/>
                        <a:ea typeface="Cambria Math"/>
                      </a:rPr>
                      <m:t>×</m:t>
                    </m:r>
                    <m:r>
                      <a:rPr lang="en-US" sz="900" b="0" i="0">
                        <a:latin typeface="Cambria Math"/>
                        <a:ea typeface="Cambria Math"/>
                      </a:rPr>
                      <m:t>100</m:t>
                    </m:r>
                  </m:oMath>
                </m:oMathPara>
              </a14:m>
              <a:endParaRPr lang="en-US" sz="900" i="0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 xmlns:a="http://schemas.openxmlformats.org/drawingml/2006/main">
              <a:off x="123825" y="11244262"/>
              <a:ext cx="962026" cy="351635"/>
            </a:xfrm>
            <a:prstGeom xmlns:a="http://schemas.openxmlformats.org/drawingml/2006/main" prst="rect">
              <a:avLst/>
            </a:prstGeom>
            <a:noFill xmlns:a="http://schemas.openxmlformats.org/drawingml/2006/main"/>
          </xdr:spPr>
          <x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xdr:style>
          <xdr:txBody>
            <a:bodyPr xmlns:a="http://schemas.openxmlformats.org/drawingml/2006/main" vertOverflow="clip" horzOverflow="clip" wrap="square" rtlCol="0" anchor="t">
              <a:spAutoFit/>
            </a:bodyPr>
            <a:lstStyle xmlns:a="http://schemas.openxmlformats.org/drawingml/2006/main"/>
            <a:p xmlns:a="http://schemas.openxmlformats.org/drawingml/2006/main">
              <a:pPr/>
              <a:r>
                <a:rPr lang="en-US" sz="900" i="0">
                  <a:latin typeface="Cambria Math"/>
                </a:rPr>
                <a:t>(</a:t>
              </a:r>
              <a:r>
                <a:rPr lang="en-US" sz="900" b="0" i="0">
                  <a:latin typeface="Cambria Math"/>
                </a:rPr>
                <a:t>A−B)/B</a:t>
              </a:r>
              <a:r>
                <a:rPr lang="en-US" sz="900" i="0">
                  <a:latin typeface="Cambria Math"/>
                  <a:ea typeface="Cambria Math"/>
                </a:rPr>
                <a:t>×</a:t>
              </a:r>
              <a:r>
                <a:rPr lang="en-US" sz="900" b="0" i="0">
                  <a:latin typeface="Cambria Math"/>
                  <a:ea typeface="Cambria Math"/>
                </a:rPr>
                <a:t>100</a:t>
              </a:r>
              <a:endParaRPr lang="en-US" sz="900" i="0"/>
            </a:p>
          </xdr:txBody>
        </xdr:sp>
      </mc:Fallback>
    </mc:AlternateContent>
    <xdr:clientData/>
  </xdr:oneCellAnchor>
  <xdr:oneCellAnchor>
    <xdr:from>
      <xdr:col>16</xdr:col>
      <xdr:colOff>19050</xdr:colOff>
      <xdr:row>182</xdr:row>
      <xdr:rowOff>14287</xdr:rowOff>
    </xdr:from>
    <xdr:ext cx="2390775" cy="2727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/>
            <xdr:cNvSpPr txBox="1"/>
          </xdr:nvSpPr>
          <xdr:spPr>
            <a:xfrm>
              <a:off x="1085850" y="19045237"/>
              <a:ext cx="2390775" cy="272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n-US" sz="800" b="0" i="0">
                      <a:latin typeface="Cambria Math"/>
                    </a:rPr>
                    <m:t>Water</m:t>
                  </m:r>
                  <m:r>
                    <a:rPr lang="en-US" sz="800" b="0" i="0">
                      <a:latin typeface="Cambria Math"/>
                    </a:rPr>
                    <m:t> </m:t>
                  </m:r>
                  <m:r>
                    <m:rPr>
                      <m:sty m:val="p"/>
                    </m:rPr>
                    <a:rPr lang="en-US" sz="800" b="0" i="0">
                      <a:latin typeface="Cambria Math"/>
                    </a:rPr>
                    <m:t>Added</m:t>
                  </m:r>
                  <m:r>
                    <a:rPr lang="en-US" sz="800" b="0" i="0">
                      <a:latin typeface="Cambria Math"/>
                    </a:rPr>
                    <m:t> </m:t>
                  </m:r>
                  <m:r>
                    <m:rPr>
                      <m:sty m:val="p"/>
                    </m:rPr>
                    <a:rPr lang="en-US" sz="800" b="0" i="0">
                      <a:latin typeface="Cambria Math"/>
                    </a:rPr>
                    <m:t>for</m:t>
                  </m:r>
                  <m:r>
                    <a:rPr lang="en-US" sz="800" b="0" i="0">
                      <a:latin typeface="Cambria Math"/>
                    </a:rPr>
                    <m:t> </m:t>
                  </m:r>
                  <m:r>
                    <m:rPr>
                      <m:sty m:val="p"/>
                    </m:rPr>
                    <a:rPr lang="en-US" sz="800" b="0" i="0">
                      <a:latin typeface="Cambria Math"/>
                    </a:rPr>
                    <m:t>Slaking</m:t>
                  </m:r>
                  <m:r>
                    <a:rPr lang="en-US" sz="800" b="0" i="0">
                      <a:latin typeface="Cambria Math"/>
                    </a:rPr>
                    <m:t>=</m:t>
                  </m:r>
                  <m:r>
                    <m:rPr>
                      <m:sty m:val="p"/>
                    </m:rPr>
                    <a:rPr lang="en-US" sz="800" b="0" i="0">
                      <a:latin typeface="Cambria Math"/>
                    </a:rPr>
                    <m:t>Dry</m:t>
                  </m:r>
                  <m:r>
                    <a:rPr lang="en-US" sz="800" b="0" i="0">
                      <a:latin typeface="Cambria Math"/>
                    </a:rPr>
                    <m:t> </m:t>
                  </m:r>
                  <m:r>
                    <m:rPr>
                      <m:sty m:val="p"/>
                    </m:rPr>
                    <a:rPr lang="en-US" sz="800" b="0" i="0">
                      <a:latin typeface="Cambria Math"/>
                    </a:rPr>
                    <m:t>Mass</m:t>
                  </m:r>
                  <m:r>
                    <a:rPr lang="en-US" sz="800" b="0" i="0">
                      <a:latin typeface="Cambria Math"/>
                      <a:ea typeface="Cambria Math"/>
                    </a:rPr>
                    <m:t>× </m:t>
                  </m:r>
                  <m:f>
                    <m:fPr>
                      <m:ctrlPr>
                        <a:rPr lang="en-US" sz="800" b="0" i="1">
                          <a:latin typeface="Cambria Math" panose="02040503050406030204" pitchFamily="18" charset="0"/>
                          <a:ea typeface="Cambria Math"/>
                        </a:rPr>
                      </m:ctrlPr>
                    </m:fPr>
                    <m:num>
                      <m:r>
                        <a:rPr lang="en-US" sz="800" b="0" i="0">
                          <a:latin typeface="Cambria Math"/>
                          <a:ea typeface="Cambria Math"/>
                        </a:rPr>
                        <m:t>(</m:t>
                      </m:r>
                      <m:r>
                        <m:rPr>
                          <m:sty m:val="p"/>
                        </m:rPr>
                        <a:rPr lang="en-US" sz="800" b="0" i="0">
                          <a:latin typeface="Cambria Math"/>
                          <a:ea typeface="Cambria Math"/>
                        </a:rPr>
                        <m:t>LL</m:t>
                      </m:r>
                      <m:r>
                        <a:rPr lang="en-US" sz="800" b="0" i="0">
                          <a:latin typeface="Cambria Math"/>
                          <a:ea typeface="Cambria Math"/>
                        </a:rPr>
                        <m:t> −</m:t>
                      </m:r>
                      <m:r>
                        <m:rPr>
                          <m:sty m:val="p"/>
                        </m:rPr>
                        <a:rPr lang="en-US" sz="800" b="0" i="0">
                          <a:latin typeface="Cambria Math"/>
                          <a:ea typeface="Cambria Math"/>
                        </a:rPr>
                        <m:t>PI</m:t>
                      </m:r>
                      <m:r>
                        <a:rPr lang="en-US" sz="800" b="0" i="0">
                          <a:latin typeface="Cambria Math"/>
                          <a:ea typeface="Cambria Math"/>
                        </a:rPr>
                        <m:t>)</m:t>
                      </m:r>
                    </m:num>
                    <m:den>
                      <m:r>
                        <a:rPr lang="en-US" sz="800" b="0" i="0">
                          <a:latin typeface="Cambria Math"/>
                          <a:ea typeface="Cambria Math"/>
                        </a:rPr>
                        <m:t>100</m:t>
                      </m:r>
                    </m:den>
                  </m:f>
                  <m:r>
                    <a:rPr lang="en-US" sz="800" b="0" i="0">
                      <a:latin typeface="Cambria Math"/>
                      <a:ea typeface="Cambria Math"/>
                    </a:rPr>
                    <m:t>= </m:t>
                  </m:r>
                  <m:r>
                    <a:rPr lang="en-US" sz="800" b="0" i="0">
                      <a:latin typeface="Cambria Math"/>
                    </a:rPr>
                    <m:t> </m:t>
                  </m:r>
                </m:oMath>
              </a14:m>
              <a:r>
                <a:rPr lang="en-US" sz="800" i="0"/>
                <a:t> </a:t>
              </a:r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 xmlns:a="http://schemas.openxmlformats.org/drawingml/2006/main">
              <a:off x="1085850" y="19045237"/>
              <a:ext cx="2390775" cy="272703"/>
            </a:xfrm>
            <a:prstGeom xmlns:a="http://schemas.openxmlformats.org/drawingml/2006/main" prst="rect">
              <a:avLst/>
            </a:prstGeom>
            <a:noFill xmlns:a="http://schemas.openxmlformats.org/drawingml/2006/main"/>
          </xdr:spPr>
          <x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xdr:style>
          <xdr:txBody>
            <a:bodyPr xmlns:a="http://schemas.openxmlformats.org/drawingml/2006/main" vertOverflow="clip" horzOverflow="clip" wrap="square" rtlCol="0" anchor="t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US" sz="800" b="0" i="0">
                  <a:latin typeface="Cambria Math"/>
                </a:rPr>
                <a:t>Water Added for Slaking=Dry Mass</a:t>
              </a:r>
              <a:r>
                <a:rPr lang="en-US" sz="800" b="0" i="0">
                  <a:latin typeface="Cambria Math"/>
                  <a:ea typeface="Cambria Math"/>
                </a:rPr>
                <a:t>×  ((LL −PI))/100= </a:t>
              </a:r>
              <a:r>
                <a:rPr lang="en-US" sz="800" b="0" i="0">
                  <a:latin typeface="Cambria Math"/>
                </a:rPr>
                <a:t> </a:t>
              </a:r>
              <a:r>
                <a:rPr lang="en-US" sz="800" i="0"/>
                <a:t> </a:t>
              </a:r>
            </a:p>
          </xdr:txBody>
        </xdr:sp>
      </mc:Fallback>
    </mc:AlternateContent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5882" cy="628463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0.39499</cdr:x>
      <cdr:y>0.2016</cdr:y>
    </cdr:from>
    <cdr:to>
      <cdr:x>0.50155</cdr:x>
      <cdr:y>0.2848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89779" y="1176618"/>
          <a:ext cx="914400" cy="485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/>
            <a:t>Heavy Clay</a:t>
          </a:r>
        </a:p>
        <a:p xmlns:a="http://schemas.openxmlformats.org/drawingml/2006/main">
          <a:pPr algn="ctr"/>
          <a:r>
            <a:rPr lang="en-US" sz="1100"/>
            <a:t>HVY CL</a:t>
          </a:r>
        </a:p>
      </cdr:txBody>
    </cdr:sp>
  </cdr:relSizeAnchor>
  <cdr:relSizeAnchor xmlns:cdr="http://schemas.openxmlformats.org/drawingml/2006/chartDrawing">
    <cdr:from>
      <cdr:x>0.30625</cdr:x>
      <cdr:y>0.3767</cdr:y>
    </cdr:from>
    <cdr:to>
      <cdr:x>0.4128</cdr:x>
      <cdr:y>0.4752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628153" y="2198594"/>
          <a:ext cx="914400" cy="574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Med.</a:t>
          </a:r>
          <a:r>
            <a:rPr lang="en-US" sz="1100" baseline="0"/>
            <a:t> Sandy</a:t>
          </a:r>
        </a:p>
        <a:p xmlns:a="http://schemas.openxmlformats.org/drawingml/2006/main">
          <a:pPr algn="ctr"/>
          <a:r>
            <a:rPr lang="en-US" sz="1100" baseline="0"/>
            <a:t>Clay</a:t>
          </a:r>
        </a:p>
        <a:p xmlns:a="http://schemas.openxmlformats.org/drawingml/2006/main">
          <a:pPr algn="ctr"/>
          <a:r>
            <a:rPr lang="en-US" sz="1100" baseline="0"/>
            <a:t>(MED SDY CL)</a:t>
          </a:r>
          <a:endParaRPr lang="en-US" sz="1100"/>
        </a:p>
      </cdr:txBody>
    </cdr:sp>
  </cdr:relSizeAnchor>
  <cdr:relSizeAnchor xmlns:cdr="http://schemas.openxmlformats.org/drawingml/2006/chartDrawing">
    <cdr:from>
      <cdr:x>0.31604</cdr:x>
      <cdr:y>0.5479</cdr:y>
    </cdr:from>
    <cdr:to>
      <cdr:x>0.42259</cdr:x>
      <cdr:y>0.6512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712196" y="3197785"/>
          <a:ext cx="914400" cy="602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Lt. Sandy</a:t>
          </a:r>
        </a:p>
        <a:p xmlns:a="http://schemas.openxmlformats.org/drawingml/2006/main">
          <a:pPr algn="ctr"/>
          <a:r>
            <a:rPr lang="en-US" sz="1100"/>
            <a:t>Clay</a:t>
          </a:r>
        </a:p>
        <a:p xmlns:a="http://schemas.openxmlformats.org/drawingml/2006/main">
          <a:pPr algn="ctr"/>
          <a:r>
            <a:rPr lang="en-US" sz="1100"/>
            <a:t>(LT</a:t>
          </a:r>
          <a:r>
            <a:rPr lang="en-US" sz="1100" baseline="0"/>
            <a:t> SDY CL)</a:t>
          </a:r>
          <a:endParaRPr lang="en-US" sz="1100"/>
        </a:p>
      </cdr:txBody>
    </cdr:sp>
  </cdr:relSizeAnchor>
  <cdr:relSizeAnchor xmlns:cdr="http://schemas.openxmlformats.org/drawingml/2006/chartDrawing">
    <cdr:from>
      <cdr:x>0.19417</cdr:x>
      <cdr:y>0.5623</cdr:y>
    </cdr:from>
    <cdr:to>
      <cdr:x>0.26768</cdr:x>
      <cdr:y>0.6624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666313" y="3281829"/>
          <a:ext cx="630893" cy="584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Sandy</a:t>
          </a:r>
        </a:p>
        <a:p xmlns:a="http://schemas.openxmlformats.org/drawingml/2006/main">
          <a:pPr algn="ctr"/>
          <a:r>
            <a:rPr lang="en-US" sz="1100"/>
            <a:t>Clay</a:t>
          </a:r>
        </a:p>
        <a:p xmlns:a="http://schemas.openxmlformats.org/drawingml/2006/main">
          <a:pPr algn="ctr"/>
          <a:r>
            <a:rPr lang="en-US" sz="1100"/>
            <a:t>(SDY</a:t>
          </a:r>
          <a:r>
            <a:rPr lang="en-US" sz="1100" baseline="0"/>
            <a:t> CL)</a:t>
          </a:r>
          <a:endParaRPr lang="en-US" sz="1100"/>
        </a:p>
      </cdr:txBody>
    </cdr:sp>
  </cdr:relSizeAnchor>
  <cdr:relSizeAnchor xmlns:cdr="http://schemas.openxmlformats.org/drawingml/2006/chartDrawing">
    <cdr:from>
      <cdr:x>0.07338</cdr:x>
      <cdr:y>0.85305</cdr:y>
    </cdr:from>
    <cdr:to>
      <cdr:x>0.12514</cdr:x>
      <cdr:y>0.9321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29770" y="5009402"/>
          <a:ext cx="444127" cy="4628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Sand</a:t>
          </a:r>
        </a:p>
        <a:p xmlns:a="http://schemas.openxmlformats.org/drawingml/2006/main">
          <a:pPr algn="ctr"/>
          <a:r>
            <a:rPr lang="en-US" sz="1100"/>
            <a:t>(SA)</a:t>
          </a:r>
        </a:p>
      </cdr:txBody>
    </cdr:sp>
  </cdr:relSizeAnchor>
  <cdr:relSizeAnchor xmlns:cdr="http://schemas.openxmlformats.org/drawingml/2006/chartDrawing">
    <cdr:from>
      <cdr:x>0.15391</cdr:x>
      <cdr:y>0.6905</cdr:y>
    </cdr:from>
    <cdr:to>
      <cdr:x>0.30794</cdr:x>
      <cdr:y>0.75945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1320798" y="4047565"/>
          <a:ext cx="1321922" cy="406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Sandy Clay</a:t>
          </a:r>
          <a:r>
            <a:rPr lang="en-US" sz="1100" baseline="0"/>
            <a:t> Loam</a:t>
          </a:r>
        </a:p>
        <a:p xmlns:a="http://schemas.openxmlformats.org/drawingml/2006/main">
          <a:pPr algn="ctr"/>
          <a:r>
            <a:rPr lang="en-US" sz="1100" baseline="0"/>
            <a:t>(SDY CL LM)</a:t>
          </a:r>
          <a:endParaRPr lang="en-US" sz="1100"/>
        </a:p>
      </cdr:txBody>
    </cdr:sp>
  </cdr:relSizeAnchor>
  <cdr:relSizeAnchor xmlns:cdr="http://schemas.openxmlformats.org/drawingml/2006/chartDrawing">
    <cdr:from>
      <cdr:x>0.39439</cdr:x>
      <cdr:y>0.6867</cdr:y>
    </cdr:from>
    <cdr:to>
      <cdr:x>0.50094</cdr:x>
      <cdr:y>0.7694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3384550" y="4019550"/>
          <a:ext cx="914400" cy="485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Clay Loam</a:t>
          </a:r>
        </a:p>
        <a:p xmlns:a="http://schemas.openxmlformats.org/drawingml/2006/main">
          <a:pPr algn="ctr"/>
          <a:r>
            <a:rPr lang="en-US" sz="1100"/>
            <a:t>(CL LM)</a:t>
          </a:r>
        </a:p>
      </cdr:txBody>
    </cdr:sp>
  </cdr:relSizeAnchor>
  <cdr:relSizeAnchor xmlns:cdr="http://schemas.openxmlformats.org/drawingml/2006/chartDrawing">
    <cdr:from>
      <cdr:x>0.47491</cdr:x>
      <cdr:y>0.3735</cdr:y>
    </cdr:from>
    <cdr:to>
      <cdr:x>0.58146</cdr:x>
      <cdr:y>0.472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4075579" y="2179917"/>
          <a:ext cx="914400" cy="574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Med.</a:t>
          </a:r>
          <a:r>
            <a:rPr lang="en-US" sz="1100" baseline="0"/>
            <a:t> Silty</a:t>
          </a:r>
        </a:p>
        <a:p xmlns:a="http://schemas.openxmlformats.org/drawingml/2006/main">
          <a:pPr algn="ctr"/>
          <a:r>
            <a:rPr lang="en-US" sz="1100" baseline="0"/>
            <a:t>Clay</a:t>
          </a:r>
        </a:p>
        <a:p xmlns:a="http://schemas.openxmlformats.org/drawingml/2006/main">
          <a:pPr algn="ctr"/>
          <a:r>
            <a:rPr lang="en-US" sz="1100" baseline="0"/>
            <a:t>(MED STY CL)</a:t>
          </a:r>
          <a:endParaRPr lang="en-US" sz="1100"/>
        </a:p>
      </cdr:txBody>
    </cdr:sp>
  </cdr:relSizeAnchor>
  <cdr:relSizeAnchor xmlns:cdr="http://schemas.openxmlformats.org/drawingml/2006/chartDrawing">
    <cdr:from>
      <cdr:x>0.47382</cdr:x>
      <cdr:y>0.5511</cdr:y>
    </cdr:from>
    <cdr:to>
      <cdr:x>0.58037</cdr:x>
      <cdr:y>0.6544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066241" y="3216462"/>
          <a:ext cx="914400" cy="602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Lt. Silty</a:t>
          </a:r>
        </a:p>
        <a:p xmlns:a="http://schemas.openxmlformats.org/drawingml/2006/main">
          <a:pPr algn="ctr"/>
          <a:r>
            <a:rPr lang="en-US" sz="1100"/>
            <a:t>Clay</a:t>
          </a:r>
        </a:p>
        <a:p xmlns:a="http://schemas.openxmlformats.org/drawingml/2006/main">
          <a:pPr algn="ctr"/>
          <a:r>
            <a:rPr lang="en-US" sz="1100"/>
            <a:t>(LT</a:t>
          </a:r>
          <a:r>
            <a:rPr lang="en-US" sz="1100" baseline="0"/>
            <a:t> STY CL)</a:t>
          </a:r>
          <a:endParaRPr lang="en-US" sz="1100"/>
        </a:p>
      </cdr:txBody>
    </cdr:sp>
  </cdr:relSizeAnchor>
  <cdr:relSizeAnchor xmlns:cdr="http://schemas.openxmlformats.org/drawingml/2006/chartDrawing">
    <cdr:from>
      <cdr:x>0.63486</cdr:x>
      <cdr:y>0.5671</cdr:y>
    </cdr:from>
    <cdr:to>
      <cdr:x>0.70838</cdr:x>
      <cdr:y>0.6672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5448300" y="3309844"/>
          <a:ext cx="630893" cy="584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Silty</a:t>
          </a:r>
        </a:p>
        <a:p xmlns:a="http://schemas.openxmlformats.org/drawingml/2006/main">
          <a:pPr algn="ctr"/>
          <a:r>
            <a:rPr lang="en-US" sz="1100"/>
            <a:t>Clay</a:t>
          </a:r>
        </a:p>
        <a:p xmlns:a="http://schemas.openxmlformats.org/drawingml/2006/main">
          <a:pPr algn="ctr"/>
          <a:r>
            <a:rPr lang="en-US" sz="1100"/>
            <a:t>(STY</a:t>
          </a:r>
          <a:r>
            <a:rPr lang="en-US" sz="1100" baseline="0"/>
            <a:t> CL)</a:t>
          </a:r>
          <a:endParaRPr lang="en-US" sz="1100"/>
        </a:p>
      </cdr:txBody>
    </cdr:sp>
  </cdr:relSizeAnchor>
  <cdr:relSizeAnchor xmlns:cdr="http://schemas.openxmlformats.org/drawingml/2006/chartDrawing">
    <cdr:from>
      <cdr:x>0.59351</cdr:x>
      <cdr:y>0.6906</cdr:y>
    </cdr:from>
    <cdr:to>
      <cdr:x>0.74755</cdr:x>
      <cdr:y>0.7603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5093447" y="4056903"/>
          <a:ext cx="1321922" cy="406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Silty Clay</a:t>
          </a:r>
          <a:r>
            <a:rPr lang="en-US" sz="1100" baseline="0"/>
            <a:t> Loam</a:t>
          </a:r>
        </a:p>
        <a:p xmlns:a="http://schemas.openxmlformats.org/drawingml/2006/main">
          <a:pPr algn="ctr"/>
          <a:r>
            <a:rPr lang="en-US" sz="1100" baseline="0"/>
            <a:t>(STY CL LM)</a:t>
          </a:r>
          <a:endParaRPr lang="en-US" sz="1100"/>
        </a:p>
      </cdr:txBody>
    </cdr:sp>
  </cdr:relSizeAnchor>
  <cdr:relSizeAnchor xmlns:cdr="http://schemas.openxmlformats.org/drawingml/2006/chartDrawing">
    <cdr:from>
      <cdr:x>0.18546</cdr:x>
      <cdr:y>0.83385</cdr:y>
    </cdr:from>
    <cdr:to>
      <cdr:x>0.3395</cdr:x>
      <cdr:y>0.90355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591609" y="4897344"/>
          <a:ext cx="1321922" cy="406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Sandy</a:t>
          </a:r>
          <a:r>
            <a:rPr lang="en-US" sz="1100" baseline="0"/>
            <a:t> Loam</a:t>
          </a:r>
        </a:p>
        <a:p xmlns:a="http://schemas.openxmlformats.org/drawingml/2006/main">
          <a:pPr algn="ctr"/>
          <a:r>
            <a:rPr lang="en-US" sz="1100" baseline="0"/>
            <a:t>(SDY LM)</a:t>
          </a:r>
          <a:endParaRPr lang="en-US" sz="1100"/>
        </a:p>
      </cdr:txBody>
    </cdr:sp>
  </cdr:relSizeAnchor>
  <cdr:relSizeAnchor xmlns:cdr="http://schemas.openxmlformats.org/drawingml/2006/chartDrawing">
    <cdr:from>
      <cdr:x>0.53911</cdr:x>
      <cdr:y>0.83545</cdr:y>
    </cdr:from>
    <cdr:to>
      <cdr:x>0.69314</cdr:x>
      <cdr:y>0.9049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626535" y="4906682"/>
          <a:ext cx="1321922" cy="406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Silty</a:t>
          </a:r>
          <a:r>
            <a:rPr lang="en-US" sz="1100" baseline="0"/>
            <a:t> Loam</a:t>
          </a:r>
        </a:p>
        <a:p xmlns:a="http://schemas.openxmlformats.org/drawingml/2006/main">
          <a:pPr algn="ctr"/>
          <a:r>
            <a:rPr lang="en-US" sz="1100" baseline="0"/>
            <a:t>(STY LM)</a:t>
          </a:r>
          <a:endParaRPr lang="en-US" sz="1100"/>
        </a:p>
      </cdr:txBody>
    </cdr:sp>
  </cdr:relSizeAnchor>
  <cdr:relSizeAnchor xmlns:cdr="http://schemas.openxmlformats.org/drawingml/2006/chartDrawing">
    <cdr:from>
      <cdr:x>0.42377</cdr:x>
      <cdr:y>0.79115</cdr:y>
    </cdr:from>
    <cdr:to>
      <cdr:x>0.47552</cdr:x>
      <cdr:y>0.86995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3636683" y="4645212"/>
          <a:ext cx="444127" cy="4628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Loam</a:t>
          </a:r>
        </a:p>
        <a:p xmlns:a="http://schemas.openxmlformats.org/drawingml/2006/main">
          <a:pPr algn="ctr"/>
          <a:r>
            <a:rPr lang="en-US" sz="1100"/>
            <a:t>(LM)</a:t>
          </a:r>
        </a:p>
      </cdr:txBody>
    </cdr:sp>
  </cdr:relSizeAnchor>
  <cdr:relSizeAnchor xmlns:cdr="http://schemas.openxmlformats.org/drawingml/2006/chartDrawing">
    <cdr:from>
      <cdr:x>0.77741</cdr:x>
      <cdr:y>0.85305</cdr:y>
    </cdr:from>
    <cdr:to>
      <cdr:x>0.82916</cdr:x>
      <cdr:y>0.9321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6671609" y="5009403"/>
          <a:ext cx="444127" cy="4628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Silt</a:t>
          </a:r>
        </a:p>
        <a:p xmlns:a="http://schemas.openxmlformats.org/drawingml/2006/main">
          <a:pPr algn="ctr"/>
          <a:r>
            <a:rPr lang="en-US" sz="1100"/>
            <a:t>(SI)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5882" cy="628463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0876" cy="627471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0876" cy="627471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BF351"/>
  <sheetViews>
    <sheetView showGridLines="0" zoomScaleNormal="100" workbookViewId="0">
      <selection activeCell="AL47" sqref="AL47:AT48"/>
    </sheetView>
  </sheetViews>
  <sheetFormatPr defaultRowHeight="11.25" x14ac:dyDescent="0.2"/>
  <cols>
    <col min="1" max="49" width="2.28515625" style="58" customWidth="1"/>
    <col min="50" max="16384" width="9.140625" style="58"/>
  </cols>
  <sheetData>
    <row r="1" spans="1:58" ht="11.25" customHeight="1" x14ac:dyDescent="0.2">
      <c r="A1" s="278" t="s">
        <v>362</v>
      </c>
      <c r="B1" s="278"/>
      <c r="C1" s="278"/>
      <c r="D1" s="278"/>
      <c r="E1" s="278"/>
      <c r="F1" s="278"/>
      <c r="G1" s="278"/>
      <c r="H1" s="278"/>
      <c r="I1" s="278"/>
      <c r="J1" s="278"/>
      <c r="K1" s="64"/>
      <c r="L1" s="64"/>
      <c r="M1" s="64"/>
      <c r="N1" s="64"/>
      <c r="O1" s="64"/>
      <c r="P1" s="291" t="s">
        <v>1</v>
      </c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64"/>
      <c r="AI1" s="64"/>
      <c r="AJ1" s="64"/>
      <c r="AK1" s="64"/>
      <c r="AL1" s="64"/>
      <c r="AM1" s="64"/>
      <c r="AN1" s="64"/>
      <c r="AO1" s="445" t="s">
        <v>364</v>
      </c>
      <c r="AP1" s="446"/>
      <c r="AQ1" s="446"/>
      <c r="AR1" s="446"/>
      <c r="AS1" s="446"/>
      <c r="AT1" s="446"/>
    </row>
    <row r="2" spans="1:58" ht="12" customHeight="1" x14ac:dyDescent="0.2">
      <c r="A2" s="64"/>
      <c r="B2" s="64"/>
      <c r="C2" s="64"/>
      <c r="D2" s="64"/>
      <c r="E2" s="64"/>
      <c r="F2" s="64"/>
      <c r="G2" s="64"/>
      <c r="H2" s="63"/>
      <c r="I2" s="64"/>
      <c r="J2" s="64"/>
      <c r="K2" s="64"/>
      <c r="L2" s="290" t="s">
        <v>363</v>
      </c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  <c r="AK2" s="290"/>
      <c r="AL2" s="64"/>
      <c r="AM2" s="64"/>
      <c r="AN2" s="64"/>
      <c r="AO2" s="446"/>
      <c r="AP2" s="446"/>
      <c r="AQ2" s="446"/>
      <c r="AR2" s="446"/>
      <c r="AS2" s="446"/>
      <c r="AT2" s="446"/>
    </row>
    <row r="3" spans="1:58" ht="6.6" customHeight="1" x14ac:dyDescent="0.2">
      <c r="A3" s="278" t="s">
        <v>2</v>
      </c>
      <c r="B3" s="278"/>
      <c r="C3" s="278"/>
      <c r="D3" s="278"/>
      <c r="E3" s="278"/>
      <c r="F3" s="278"/>
      <c r="G3" s="64"/>
      <c r="H3" s="276" t="s">
        <v>121</v>
      </c>
      <c r="I3" s="64"/>
      <c r="J3" s="64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446"/>
      <c r="AP3" s="446"/>
      <c r="AQ3" s="446"/>
      <c r="AR3" s="446"/>
      <c r="AS3" s="446"/>
      <c r="AT3" s="446"/>
    </row>
    <row r="4" spans="1:58" ht="6.6" customHeight="1" x14ac:dyDescent="0.2">
      <c r="A4" s="278"/>
      <c r="B4" s="278"/>
      <c r="C4" s="278"/>
      <c r="D4" s="278"/>
      <c r="E4" s="278"/>
      <c r="F4" s="278"/>
      <c r="G4" s="64"/>
      <c r="H4" s="276"/>
      <c r="I4" s="64"/>
      <c r="J4" s="442" t="s">
        <v>44</v>
      </c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446"/>
      <c r="AP4" s="446"/>
      <c r="AQ4" s="446"/>
      <c r="AR4" s="446"/>
      <c r="AS4" s="446"/>
      <c r="AT4" s="446"/>
    </row>
    <row r="5" spans="1:58" ht="6.6" customHeight="1" x14ac:dyDescent="0.2">
      <c r="A5" s="278"/>
      <c r="B5" s="278"/>
      <c r="C5" s="278"/>
      <c r="D5" s="278"/>
      <c r="E5" s="278"/>
      <c r="F5" s="278"/>
      <c r="G5" s="64"/>
      <c r="H5" s="61"/>
      <c r="I5" s="64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446"/>
      <c r="AP5" s="446"/>
      <c r="AQ5" s="446"/>
      <c r="AR5" s="446"/>
      <c r="AS5" s="446"/>
      <c r="AT5" s="446"/>
    </row>
    <row r="6" spans="1:58" ht="6.6" customHeight="1" x14ac:dyDescent="0.2">
      <c r="A6" s="64"/>
      <c r="B6" s="64"/>
      <c r="C6" s="64"/>
      <c r="D6" s="64"/>
      <c r="E6" s="64"/>
      <c r="F6" s="64"/>
      <c r="G6" s="441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64"/>
      <c r="S6" s="74"/>
      <c r="T6" s="74"/>
      <c r="U6" s="74"/>
      <c r="V6" s="74"/>
      <c r="W6" s="74"/>
      <c r="X6" s="74"/>
      <c r="Y6" s="440"/>
      <c r="Z6" s="276"/>
      <c r="AA6" s="276"/>
      <c r="AB6" s="276"/>
      <c r="AC6" s="276"/>
      <c r="AD6" s="276"/>
      <c r="AE6" s="276"/>
      <c r="AF6" s="276"/>
      <c r="AG6" s="64"/>
      <c r="AH6" s="64"/>
      <c r="AI6" s="63"/>
      <c r="AJ6" s="64"/>
      <c r="AK6" s="276"/>
      <c r="AL6" s="276"/>
      <c r="AM6" s="276"/>
      <c r="AN6" s="276"/>
      <c r="AO6" s="276"/>
      <c r="AP6" s="276"/>
      <c r="AQ6" s="276"/>
      <c r="AR6" s="276"/>
      <c r="AS6" s="276"/>
      <c r="AT6" s="276"/>
    </row>
    <row r="7" spans="1:58" ht="6.6" customHeight="1" x14ac:dyDescent="0.2">
      <c r="A7" s="278" t="s">
        <v>5</v>
      </c>
      <c r="B7" s="278"/>
      <c r="C7" s="278"/>
      <c r="D7" s="278"/>
      <c r="E7" s="278"/>
      <c r="F7" s="278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64"/>
      <c r="S7" s="278" t="s">
        <v>8</v>
      </c>
      <c r="T7" s="278"/>
      <c r="U7" s="278"/>
      <c r="V7" s="278"/>
      <c r="W7" s="278"/>
      <c r="X7" s="278"/>
      <c r="Y7" s="276"/>
      <c r="Z7" s="276"/>
      <c r="AA7" s="276"/>
      <c r="AB7" s="276"/>
      <c r="AC7" s="276"/>
      <c r="AD7" s="276"/>
      <c r="AE7" s="276"/>
      <c r="AF7" s="276"/>
      <c r="AG7" s="70"/>
      <c r="AH7" s="443" t="s">
        <v>523</v>
      </c>
      <c r="AI7" s="443"/>
      <c r="AJ7" s="443"/>
      <c r="AK7" s="276"/>
      <c r="AL7" s="276"/>
      <c r="AM7" s="276"/>
      <c r="AN7" s="276"/>
      <c r="AO7" s="276"/>
      <c r="AP7" s="276"/>
      <c r="AQ7" s="276"/>
      <c r="AR7" s="276"/>
      <c r="AS7" s="276"/>
      <c r="AT7" s="276"/>
    </row>
    <row r="8" spans="1:58" ht="6.6" customHeight="1" x14ac:dyDescent="0.2">
      <c r="A8" s="278"/>
      <c r="B8" s="278"/>
      <c r="C8" s="278"/>
      <c r="D8" s="278"/>
      <c r="E8" s="278"/>
      <c r="F8" s="278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4"/>
      <c r="S8" s="278"/>
      <c r="T8" s="278"/>
      <c r="U8" s="278"/>
      <c r="V8" s="278"/>
      <c r="W8" s="278"/>
      <c r="X8" s="278"/>
      <c r="Y8" s="61"/>
      <c r="Z8" s="61"/>
      <c r="AA8" s="61"/>
      <c r="AB8" s="61"/>
      <c r="AC8" s="61"/>
      <c r="AD8" s="61"/>
      <c r="AE8" s="61"/>
      <c r="AF8" s="61"/>
      <c r="AG8" s="70"/>
      <c r="AH8" s="443"/>
      <c r="AI8" s="443"/>
      <c r="AJ8" s="443"/>
      <c r="AK8" s="61"/>
      <c r="AL8" s="61"/>
      <c r="AM8" s="61"/>
      <c r="AN8" s="61"/>
      <c r="AO8" s="61"/>
      <c r="AP8" s="61"/>
      <c r="AQ8" s="61"/>
      <c r="AR8" s="61"/>
      <c r="AS8" s="61"/>
      <c r="AT8" s="61"/>
    </row>
    <row r="9" spans="1:58" ht="6.6" customHeight="1" x14ac:dyDescent="0.2">
      <c r="A9" s="65"/>
      <c r="B9" s="65"/>
      <c r="C9" s="65"/>
      <c r="D9" s="65"/>
      <c r="E9" s="65"/>
      <c r="F9" s="65"/>
      <c r="G9" s="276"/>
      <c r="H9" s="276"/>
      <c r="I9" s="276"/>
      <c r="J9" s="276"/>
      <c r="K9" s="64"/>
      <c r="L9" s="64"/>
      <c r="M9" s="64"/>
      <c r="N9" s="64"/>
      <c r="O9" s="64"/>
      <c r="P9" s="64"/>
      <c r="Q9" s="64"/>
      <c r="R9" s="64"/>
      <c r="S9" s="74"/>
      <c r="T9" s="74"/>
      <c r="U9" s="74"/>
      <c r="V9" s="74"/>
      <c r="W9" s="74"/>
      <c r="X9" s="74"/>
      <c r="Y9" s="281"/>
      <c r="Z9" s="64"/>
      <c r="AA9" s="64"/>
      <c r="AB9" s="64"/>
      <c r="AC9" s="63"/>
      <c r="AD9" s="63"/>
      <c r="AE9" s="65"/>
      <c r="AF9" s="65"/>
      <c r="AG9" s="65"/>
      <c r="AH9" s="65"/>
      <c r="AI9" s="63"/>
      <c r="AK9" s="444"/>
      <c r="AL9" s="444"/>
      <c r="AM9" s="444"/>
      <c r="AN9" s="444"/>
      <c r="AO9" s="444"/>
      <c r="AP9" s="444"/>
      <c r="AQ9" s="444"/>
      <c r="AR9" s="444"/>
      <c r="AS9" s="444"/>
      <c r="AT9" s="444"/>
    </row>
    <row r="10" spans="1:58" ht="6.6" customHeight="1" x14ac:dyDescent="0.2">
      <c r="A10" s="278" t="s">
        <v>13</v>
      </c>
      <c r="B10" s="278"/>
      <c r="C10" s="278"/>
      <c r="D10" s="278"/>
      <c r="E10" s="278"/>
      <c r="F10" s="278"/>
      <c r="G10" s="276"/>
      <c r="H10" s="276"/>
      <c r="I10" s="276"/>
      <c r="J10" s="276"/>
      <c r="K10" s="64"/>
      <c r="L10" s="64"/>
      <c r="M10" s="64"/>
      <c r="N10" s="64"/>
      <c r="O10" s="64"/>
      <c r="P10" s="64"/>
      <c r="Q10" s="64"/>
      <c r="R10" s="64"/>
      <c r="S10" s="278" t="s">
        <v>365</v>
      </c>
      <c r="T10" s="278"/>
      <c r="U10" s="278"/>
      <c r="V10" s="278"/>
      <c r="W10" s="278"/>
      <c r="X10" s="278"/>
      <c r="Y10" s="276"/>
      <c r="Z10" s="64"/>
      <c r="AA10" s="64"/>
      <c r="AB10" s="64"/>
      <c r="AC10" s="63"/>
      <c r="AD10" s="63"/>
      <c r="AE10" s="63"/>
      <c r="AF10" s="63"/>
      <c r="AG10" s="63"/>
      <c r="AH10" s="443" t="s">
        <v>522</v>
      </c>
      <c r="AI10" s="443"/>
      <c r="AJ10" s="443"/>
      <c r="AK10" s="444"/>
      <c r="AL10" s="444"/>
      <c r="AM10" s="444"/>
      <c r="AN10" s="444"/>
      <c r="AO10" s="444"/>
      <c r="AP10" s="444"/>
      <c r="AQ10" s="444"/>
      <c r="AR10" s="444"/>
      <c r="AS10" s="444"/>
      <c r="AT10" s="444"/>
    </row>
    <row r="11" spans="1:58" ht="6.6" customHeight="1" x14ac:dyDescent="0.2">
      <c r="A11" s="278"/>
      <c r="B11" s="278"/>
      <c r="C11" s="278"/>
      <c r="D11" s="278"/>
      <c r="E11" s="278"/>
      <c r="F11" s="278"/>
      <c r="G11" s="61"/>
      <c r="H11" s="61"/>
      <c r="I11" s="61"/>
      <c r="J11" s="61"/>
      <c r="K11" s="64"/>
      <c r="L11" s="64"/>
      <c r="M11" s="64"/>
      <c r="N11" s="64"/>
      <c r="O11" s="64"/>
      <c r="P11" s="64"/>
      <c r="Q11" s="64"/>
      <c r="R11" s="64"/>
      <c r="S11" s="278"/>
      <c r="T11" s="278"/>
      <c r="U11" s="278"/>
      <c r="V11" s="278"/>
      <c r="W11" s="278"/>
      <c r="X11" s="278"/>
      <c r="Y11" s="61"/>
      <c r="Z11" s="64"/>
      <c r="AA11" s="64"/>
      <c r="AB11" s="64"/>
      <c r="AC11" s="64"/>
      <c r="AD11" s="64"/>
      <c r="AE11" s="63"/>
      <c r="AF11" s="63"/>
      <c r="AG11" s="63"/>
      <c r="AH11" s="443"/>
      <c r="AI11" s="443"/>
      <c r="AJ11" s="443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</row>
    <row r="12" spans="1:58" ht="6.6" customHeight="1" x14ac:dyDescent="0.2">
      <c r="A12" s="74"/>
      <c r="B12" s="74"/>
      <c r="C12" s="74"/>
      <c r="D12" s="74"/>
      <c r="E12" s="74"/>
      <c r="F12" s="74"/>
      <c r="G12" s="281"/>
      <c r="H12" s="63"/>
      <c r="I12" s="63"/>
      <c r="J12" s="63"/>
      <c r="K12" s="63"/>
      <c r="L12" s="63"/>
      <c r="M12" s="63"/>
      <c r="N12" s="63"/>
      <c r="O12" s="64"/>
      <c r="P12" s="64"/>
      <c r="Q12" s="64"/>
      <c r="R12" s="64"/>
      <c r="S12" s="74"/>
      <c r="T12" s="74"/>
      <c r="U12" s="74"/>
      <c r="V12" s="74"/>
      <c r="W12" s="74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63"/>
      <c r="AK12" s="63"/>
      <c r="AL12" s="63"/>
      <c r="AM12" s="63"/>
      <c r="AN12" s="63"/>
      <c r="AO12" s="63"/>
      <c r="AP12" s="63"/>
      <c r="AQ12" s="63"/>
      <c r="AR12" s="64"/>
      <c r="AS12" s="64"/>
      <c r="AT12" s="64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</row>
    <row r="13" spans="1:58" ht="6.6" customHeight="1" x14ac:dyDescent="0.2">
      <c r="A13" s="278" t="s">
        <v>366</v>
      </c>
      <c r="B13" s="278"/>
      <c r="C13" s="278"/>
      <c r="D13" s="278"/>
      <c r="E13" s="278"/>
      <c r="F13" s="70"/>
      <c r="G13" s="276"/>
      <c r="H13" s="63"/>
      <c r="I13" s="280" t="s">
        <v>367</v>
      </c>
      <c r="J13" s="442"/>
      <c r="K13" s="442"/>
      <c r="L13" s="442"/>
      <c r="M13" s="442"/>
      <c r="N13" s="442"/>
      <c r="O13" s="442"/>
      <c r="P13" s="442"/>
      <c r="Q13" s="442"/>
      <c r="R13" s="64"/>
      <c r="S13" s="278" t="s">
        <v>9</v>
      </c>
      <c r="T13" s="278"/>
      <c r="U13" s="278"/>
      <c r="V13" s="278"/>
      <c r="W13" s="64"/>
      <c r="X13" s="277"/>
      <c r="Y13" s="277"/>
      <c r="Z13" s="277"/>
      <c r="AA13" s="277"/>
      <c r="AB13" s="277"/>
      <c r="AC13" s="277"/>
      <c r="AD13" s="277"/>
      <c r="AE13" s="277"/>
      <c r="AF13" s="277"/>
      <c r="AG13" s="277"/>
      <c r="AH13" s="277"/>
      <c r="AI13" s="277"/>
      <c r="AJ13" s="63"/>
      <c r="AK13" s="63"/>
      <c r="AL13" s="63"/>
      <c r="AM13" s="63"/>
      <c r="AN13" s="63"/>
      <c r="AO13" s="63"/>
      <c r="AP13" s="63"/>
      <c r="AQ13" s="63"/>
      <c r="AR13" s="64"/>
      <c r="AS13" s="64"/>
      <c r="AT13" s="64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</row>
    <row r="14" spans="1:58" ht="6.6" customHeight="1" x14ac:dyDescent="0.2">
      <c r="A14" s="278"/>
      <c r="B14" s="278"/>
      <c r="C14" s="278"/>
      <c r="D14" s="278"/>
      <c r="E14" s="278"/>
      <c r="F14" s="70"/>
      <c r="G14" s="61"/>
      <c r="H14" s="67"/>
      <c r="I14" s="442"/>
      <c r="J14" s="442"/>
      <c r="K14" s="442"/>
      <c r="L14" s="442"/>
      <c r="M14" s="442"/>
      <c r="N14" s="442"/>
      <c r="O14" s="442"/>
      <c r="P14" s="442"/>
      <c r="Q14" s="442"/>
      <c r="R14" s="64"/>
      <c r="S14" s="278"/>
      <c r="T14" s="278"/>
      <c r="U14" s="278"/>
      <c r="V14" s="278"/>
      <c r="W14" s="64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3"/>
      <c r="AK14" s="63"/>
      <c r="AL14" s="63"/>
      <c r="AM14" s="63"/>
      <c r="AN14" s="63"/>
      <c r="AO14" s="63"/>
      <c r="AP14" s="63"/>
      <c r="AQ14" s="63"/>
      <c r="AR14" s="64"/>
      <c r="AS14" s="64"/>
      <c r="AT14" s="64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</row>
    <row r="15" spans="1:58" ht="6.6" customHeight="1" x14ac:dyDescent="0.2">
      <c r="A15" s="74"/>
      <c r="B15" s="74"/>
      <c r="C15" s="74"/>
      <c r="D15" s="74"/>
      <c r="E15" s="74"/>
      <c r="F15" s="70"/>
      <c r="G15" s="416"/>
      <c r="H15" s="277"/>
      <c r="I15" s="277"/>
      <c r="J15" s="277"/>
      <c r="K15" s="417" t="s">
        <v>187</v>
      </c>
      <c r="L15" s="277"/>
      <c r="M15" s="277"/>
      <c r="N15" s="277"/>
      <c r="O15" s="64"/>
      <c r="P15" s="64"/>
      <c r="Q15" s="64"/>
      <c r="R15" s="64"/>
      <c r="S15" s="65"/>
      <c r="T15" s="65"/>
      <c r="U15" s="65"/>
      <c r="V15" s="65"/>
      <c r="W15" s="63"/>
      <c r="X15" s="63"/>
      <c r="Y15" s="63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63"/>
      <c r="AM15" s="65"/>
      <c r="AN15" s="65"/>
      <c r="AO15" s="65"/>
      <c r="AP15" s="65"/>
      <c r="AQ15" s="64"/>
      <c r="AR15" s="64"/>
      <c r="AS15" s="276"/>
      <c r="AT15" s="64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</row>
    <row r="16" spans="1:58" ht="6.6" customHeight="1" x14ac:dyDescent="0.2">
      <c r="A16" s="278" t="s">
        <v>368</v>
      </c>
      <c r="B16" s="278"/>
      <c r="C16" s="278"/>
      <c r="D16" s="278"/>
      <c r="E16" s="278"/>
      <c r="F16" s="278"/>
      <c r="G16" s="277"/>
      <c r="H16" s="277"/>
      <c r="I16" s="277"/>
      <c r="J16" s="277"/>
      <c r="K16" s="417"/>
      <c r="L16" s="277"/>
      <c r="M16" s="277"/>
      <c r="N16" s="277"/>
      <c r="O16" s="64"/>
      <c r="P16" s="64"/>
      <c r="Q16" s="64"/>
      <c r="R16" s="64"/>
      <c r="S16" s="280" t="s">
        <v>369</v>
      </c>
      <c r="T16" s="280"/>
      <c r="U16" s="280"/>
      <c r="V16" s="280"/>
      <c r="W16" s="280"/>
      <c r="X16" s="280"/>
      <c r="Y16" s="85"/>
      <c r="Z16" s="276"/>
      <c r="AA16" s="276"/>
      <c r="AB16" s="276"/>
      <c r="AC16" s="276"/>
      <c r="AD16" s="276"/>
      <c r="AE16" s="276"/>
      <c r="AF16" s="276"/>
      <c r="AG16" s="276"/>
      <c r="AH16" s="276"/>
      <c r="AI16" s="276"/>
      <c r="AJ16" s="276"/>
      <c r="AK16" s="276"/>
      <c r="AL16" s="63"/>
      <c r="AM16" s="278" t="s">
        <v>12</v>
      </c>
      <c r="AN16" s="278"/>
      <c r="AO16" s="278"/>
      <c r="AP16" s="278"/>
      <c r="AQ16" s="64"/>
      <c r="AR16" s="64"/>
      <c r="AS16" s="276"/>
      <c r="AT16" s="64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</row>
    <row r="17" spans="1:58" ht="6.6" customHeight="1" x14ac:dyDescent="0.2">
      <c r="A17" s="278"/>
      <c r="B17" s="278"/>
      <c r="C17" s="278"/>
      <c r="D17" s="278"/>
      <c r="E17" s="278"/>
      <c r="F17" s="278"/>
      <c r="G17" s="61"/>
      <c r="H17" s="61"/>
      <c r="I17" s="61"/>
      <c r="J17" s="61"/>
      <c r="K17" s="72"/>
      <c r="L17" s="61"/>
      <c r="M17" s="61"/>
      <c r="N17" s="61"/>
      <c r="O17" s="64"/>
      <c r="P17" s="64"/>
      <c r="Q17" s="64"/>
      <c r="R17" s="64"/>
      <c r="S17" s="280"/>
      <c r="T17" s="280"/>
      <c r="U17" s="280"/>
      <c r="V17" s="280"/>
      <c r="W17" s="280"/>
      <c r="X17" s="280"/>
      <c r="Y17" s="86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61"/>
      <c r="AK17" s="61"/>
      <c r="AL17" s="67"/>
      <c r="AM17" s="278"/>
      <c r="AN17" s="278"/>
      <c r="AO17" s="278"/>
      <c r="AP17" s="278"/>
      <c r="AQ17" s="64"/>
      <c r="AR17" s="64"/>
      <c r="AS17" s="61"/>
      <c r="AT17" s="64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</row>
    <row r="18" spans="1:58" ht="6.6" customHeight="1" x14ac:dyDescent="0.2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V18" s="219"/>
      <c r="AW18" s="219"/>
      <c r="AX18" s="219"/>
      <c r="AY18" s="219"/>
      <c r="AZ18" s="219"/>
      <c r="BA18" s="219"/>
      <c r="BB18" s="219"/>
      <c r="BC18" s="219"/>
      <c r="BD18" s="219"/>
      <c r="BE18" s="219"/>
      <c r="BF18" s="219"/>
    </row>
    <row r="19" spans="1:58" ht="6.6" customHeight="1" thickBot="1" x14ac:dyDescent="0.25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</row>
    <row r="20" spans="1:58" ht="6.6" customHeight="1" thickTop="1" x14ac:dyDescent="0.2">
      <c r="A20" s="121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120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</row>
    <row r="21" spans="1:58" ht="6.6" customHeight="1" x14ac:dyDescent="0.2">
      <c r="A21" s="282" t="s">
        <v>370</v>
      </c>
      <c r="B21" s="280"/>
      <c r="C21" s="280"/>
      <c r="D21" s="276"/>
      <c r="E21" s="276"/>
      <c r="F21" s="276"/>
      <c r="G21" s="276"/>
      <c r="H21" s="276"/>
      <c r="I21" s="276"/>
      <c r="J21" s="276"/>
      <c r="K21" s="276"/>
      <c r="L21" s="64"/>
      <c r="M21" s="64"/>
      <c r="N21" s="64"/>
      <c r="O21" s="64"/>
      <c r="P21" s="64"/>
      <c r="Q21" s="280" t="s">
        <v>371</v>
      </c>
      <c r="R21" s="280"/>
      <c r="S21" s="280"/>
      <c r="T21" s="276"/>
      <c r="U21" s="276"/>
      <c r="V21" s="276"/>
      <c r="W21" s="276"/>
      <c r="X21" s="276"/>
      <c r="Y21" s="276"/>
      <c r="Z21" s="276"/>
      <c r="AA21" s="276"/>
      <c r="AB21" s="64"/>
      <c r="AC21" s="64"/>
      <c r="AD21" s="64"/>
      <c r="AE21" s="64"/>
      <c r="AF21" s="280" t="s">
        <v>372</v>
      </c>
      <c r="AG21" s="280"/>
      <c r="AH21" s="280"/>
      <c r="AI21" s="280"/>
      <c r="AJ21" s="280"/>
      <c r="AK21" s="276"/>
      <c r="AL21" s="276"/>
      <c r="AM21" s="276"/>
      <c r="AN21" s="276"/>
      <c r="AO21" s="276"/>
      <c r="AP21" s="276"/>
      <c r="AQ21" s="276"/>
      <c r="AR21" s="276"/>
      <c r="AS21" s="64"/>
      <c r="AT21" s="120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F21" s="219"/>
    </row>
    <row r="22" spans="1:58" ht="6.6" customHeight="1" x14ac:dyDescent="0.2">
      <c r="A22" s="282"/>
      <c r="B22" s="280"/>
      <c r="C22" s="280"/>
      <c r="D22" s="279"/>
      <c r="E22" s="279"/>
      <c r="F22" s="279"/>
      <c r="G22" s="279"/>
      <c r="H22" s="279"/>
      <c r="I22" s="279"/>
      <c r="J22" s="279"/>
      <c r="K22" s="279"/>
      <c r="L22" s="64"/>
      <c r="M22" s="64"/>
      <c r="N22" s="64"/>
      <c r="O22" s="64"/>
      <c r="P22" s="64"/>
      <c r="Q22" s="280"/>
      <c r="R22" s="280"/>
      <c r="S22" s="280"/>
      <c r="T22" s="279"/>
      <c r="U22" s="279"/>
      <c r="V22" s="279"/>
      <c r="W22" s="279"/>
      <c r="X22" s="279"/>
      <c r="Y22" s="279"/>
      <c r="Z22" s="279"/>
      <c r="AA22" s="279"/>
      <c r="AB22" s="64"/>
      <c r="AC22" s="64"/>
      <c r="AD22" s="64"/>
      <c r="AE22" s="64"/>
      <c r="AF22" s="280"/>
      <c r="AG22" s="280"/>
      <c r="AH22" s="280"/>
      <c r="AI22" s="280"/>
      <c r="AJ22" s="280"/>
      <c r="AK22" s="279"/>
      <c r="AL22" s="279"/>
      <c r="AM22" s="279"/>
      <c r="AN22" s="279"/>
      <c r="AO22" s="279"/>
      <c r="AP22" s="279"/>
      <c r="AQ22" s="279"/>
      <c r="AR22" s="279"/>
      <c r="AS22" s="64"/>
      <c r="AT22" s="120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</row>
    <row r="23" spans="1:58" ht="6.6" customHeight="1" thickBot="1" x14ac:dyDescent="0.25">
      <c r="A23" s="130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8"/>
      <c r="AV23" s="219"/>
      <c r="AW23" s="219"/>
      <c r="AX23" s="219"/>
      <c r="AY23" s="219"/>
      <c r="AZ23" s="219"/>
      <c r="BA23" s="219"/>
      <c r="BB23" s="219"/>
      <c r="BC23" s="219"/>
      <c r="BD23" s="219"/>
      <c r="BE23" s="219"/>
      <c r="BF23" s="219"/>
    </row>
    <row r="24" spans="1:58" ht="6.6" customHeight="1" thickTop="1" x14ac:dyDescent="0.2">
      <c r="A24" s="121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146"/>
      <c r="AJ24" s="64"/>
      <c r="AK24" s="64"/>
      <c r="AL24" s="64"/>
      <c r="AM24" s="276"/>
      <c r="AN24" s="276"/>
      <c r="AO24" s="276"/>
      <c r="AP24" s="276"/>
      <c r="AQ24" s="64"/>
      <c r="AR24" s="64"/>
      <c r="AS24" s="64"/>
      <c r="AT24" s="120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</row>
    <row r="25" spans="1:58" ht="6.6" customHeight="1" x14ac:dyDescent="0.2">
      <c r="A25" s="121"/>
      <c r="B25" s="280" t="s">
        <v>373</v>
      </c>
      <c r="C25" s="280"/>
      <c r="D25" s="64"/>
      <c r="E25" s="280" t="s">
        <v>374</v>
      </c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64"/>
      <c r="AD25" s="64"/>
      <c r="AE25" s="64"/>
      <c r="AF25" s="280" t="s">
        <v>375</v>
      </c>
      <c r="AG25" s="280"/>
      <c r="AH25" s="64"/>
      <c r="AI25" s="121"/>
      <c r="AJ25" s="64"/>
      <c r="AK25" s="64"/>
      <c r="AL25" s="64"/>
      <c r="AM25" s="276"/>
      <c r="AN25" s="276"/>
      <c r="AO25" s="276"/>
      <c r="AP25" s="276"/>
      <c r="AQ25" s="64"/>
      <c r="AR25" s="64"/>
      <c r="AS25" s="64"/>
      <c r="AT25" s="120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</row>
    <row r="26" spans="1:58" ht="6.6" customHeight="1" x14ac:dyDescent="0.2">
      <c r="A26" s="121"/>
      <c r="B26" s="280"/>
      <c r="C26" s="280"/>
      <c r="D26" s="64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  <c r="AC26" s="64"/>
      <c r="AD26" s="64"/>
      <c r="AE26" s="64"/>
      <c r="AF26" s="280"/>
      <c r="AG26" s="280"/>
      <c r="AH26" s="64"/>
      <c r="AI26" s="121"/>
      <c r="AJ26" s="64"/>
      <c r="AK26" s="64"/>
      <c r="AL26" s="64"/>
      <c r="AM26" s="61"/>
      <c r="AN26" s="61"/>
      <c r="AO26" s="61"/>
      <c r="AP26" s="61"/>
      <c r="AQ26" s="64"/>
      <c r="AR26" s="64"/>
      <c r="AS26" s="64"/>
      <c r="AT26" s="120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</row>
    <row r="27" spans="1:58" ht="6.6" customHeight="1" x14ac:dyDescent="0.2">
      <c r="A27" s="190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191"/>
      <c r="AI27" s="121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120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</row>
    <row r="28" spans="1:58" ht="6.6" customHeight="1" x14ac:dyDescent="0.2">
      <c r="A28" s="121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121"/>
      <c r="AJ28" s="64"/>
      <c r="AK28" s="64"/>
      <c r="AL28" s="64"/>
      <c r="AM28" s="276"/>
      <c r="AN28" s="276"/>
      <c r="AO28" s="276"/>
      <c r="AP28" s="276"/>
      <c r="AQ28" s="64"/>
      <c r="AR28" s="64"/>
      <c r="AS28" s="64"/>
      <c r="AT28" s="120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</row>
    <row r="29" spans="1:58" ht="6.6" customHeight="1" x14ac:dyDescent="0.2">
      <c r="A29" s="121"/>
      <c r="B29" s="280" t="s">
        <v>376</v>
      </c>
      <c r="C29" s="280"/>
      <c r="D29" s="64"/>
      <c r="E29" s="280" t="s">
        <v>379</v>
      </c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  <c r="S29" s="280"/>
      <c r="T29" s="280"/>
      <c r="U29" s="280"/>
      <c r="V29" s="280"/>
      <c r="W29" s="280"/>
      <c r="X29" s="280"/>
      <c r="Y29" s="280"/>
      <c r="Z29" s="280"/>
      <c r="AA29" s="280"/>
      <c r="AB29" s="280"/>
      <c r="AC29" s="64"/>
      <c r="AD29" s="64"/>
      <c r="AE29" s="64"/>
      <c r="AF29" s="280" t="s">
        <v>381</v>
      </c>
      <c r="AG29" s="280"/>
      <c r="AH29" s="64"/>
      <c r="AI29" s="121"/>
      <c r="AJ29" s="64"/>
      <c r="AK29" s="64"/>
      <c r="AL29" s="64"/>
      <c r="AM29" s="276"/>
      <c r="AN29" s="276"/>
      <c r="AO29" s="276"/>
      <c r="AP29" s="276"/>
      <c r="AQ29" s="64"/>
      <c r="AR29" s="64"/>
      <c r="AS29" s="64"/>
      <c r="AT29" s="120"/>
      <c r="AV29" s="219"/>
      <c r="AW29" s="219"/>
      <c r="AX29" s="219"/>
      <c r="AY29" s="219"/>
      <c r="AZ29" s="219"/>
      <c r="BA29" s="219"/>
      <c r="BB29" s="219"/>
      <c r="BC29" s="219"/>
      <c r="BD29" s="219"/>
      <c r="BE29" s="219"/>
      <c r="BF29" s="219"/>
    </row>
    <row r="30" spans="1:58" ht="6.6" customHeight="1" x14ac:dyDescent="0.2">
      <c r="A30" s="121"/>
      <c r="B30" s="280"/>
      <c r="C30" s="280"/>
      <c r="D30" s="64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V30" s="280"/>
      <c r="W30" s="280"/>
      <c r="X30" s="280"/>
      <c r="Y30" s="280"/>
      <c r="Z30" s="280"/>
      <c r="AA30" s="280"/>
      <c r="AB30" s="280"/>
      <c r="AC30" s="64"/>
      <c r="AD30" s="64"/>
      <c r="AE30" s="64"/>
      <c r="AF30" s="280"/>
      <c r="AG30" s="280"/>
      <c r="AH30" s="64"/>
      <c r="AI30" s="121"/>
      <c r="AJ30" s="64"/>
      <c r="AK30" s="64"/>
      <c r="AL30" s="64"/>
      <c r="AM30" s="61"/>
      <c r="AN30" s="61"/>
      <c r="AO30" s="61"/>
      <c r="AP30" s="61"/>
      <c r="AQ30" s="64"/>
      <c r="AR30" s="64"/>
      <c r="AS30" s="64"/>
      <c r="AT30" s="120"/>
      <c r="AV30" s="219"/>
      <c r="AW30" s="219"/>
      <c r="AX30" s="219"/>
      <c r="AY30" s="219"/>
      <c r="AZ30" s="219"/>
      <c r="BA30" s="219"/>
      <c r="BB30" s="219"/>
      <c r="BC30" s="219"/>
      <c r="BD30" s="219"/>
      <c r="BE30" s="219"/>
      <c r="BF30" s="219"/>
    </row>
    <row r="31" spans="1:58" ht="6.6" customHeight="1" x14ac:dyDescent="0.2">
      <c r="A31" s="190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191"/>
      <c r="AI31" s="121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120"/>
      <c r="AV31" s="219"/>
      <c r="AW31" s="219"/>
      <c r="AX31" s="219"/>
      <c r="AY31" s="219"/>
      <c r="AZ31" s="219"/>
      <c r="BA31" s="219"/>
      <c r="BB31" s="219"/>
      <c r="BC31" s="219"/>
      <c r="BD31" s="219"/>
      <c r="BE31" s="219"/>
      <c r="BF31" s="219"/>
    </row>
    <row r="32" spans="1:58" ht="6.6" customHeight="1" x14ac:dyDescent="0.2">
      <c r="A32" s="121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121"/>
      <c r="AJ32" s="64"/>
      <c r="AK32" s="64"/>
      <c r="AL32" s="64"/>
      <c r="AM32" s="63"/>
      <c r="AN32" s="276"/>
      <c r="AO32" s="276"/>
      <c r="AP32" s="276"/>
      <c r="AQ32" s="64"/>
      <c r="AR32" s="64"/>
      <c r="AS32" s="64"/>
      <c r="AT32" s="120"/>
      <c r="AV32" s="219"/>
      <c r="AW32" s="219"/>
      <c r="AX32" s="219"/>
      <c r="AY32" s="219"/>
      <c r="AZ32" s="219"/>
      <c r="BA32" s="219"/>
      <c r="BB32" s="219"/>
      <c r="BC32" s="219"/>
      <c r="BD32" s="219"/>
      <c r="BE32" s="219"/>
      <c r="BF32" s="219"/>
    </row>
    <row r="33" spans="1:58" ht="6.6" customHeight="1" x14ac:dyDescent="0.2">
      <c r="A33" s="121"/>
      <c r="B33" s="280" t="s">
        <v>378</v>
      </c>
      <c r="C33" s="280"/>
      <c r="D33" s="64"/>
      <c r="E33" s="280" t="s">
        <v>380</v>
      </c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0"/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64"/>
      <c r="AD33" s="64"/>
      <c r="AE33" s="64"/>
      <c r="AF33" s="280" t="s">
        <v>382</v>
      </c>
      <c r="AG33" s="280"/>
      <c r="AH33" s="64"/>
      <c r="AI33" s="121"/>
      <c r="AJ33" s="64"/>
      <c r="AK33" s="64"/>
      <c r="AL33" s="64"/>
      <c r="AM33" s="63"/>
      <c r="AN33" s="276"/>
      <c r="AO33" s="276"/>
      <c r="AP33" s="276"/>
      <c r="AQ33" s="64"/>
      <c r="AR33" s="64"/>
      <c r="AS33" s="64"/>
      <c r="AT33" s="120"/>
      <c r="AV33" s="219"/>
      <c r="AW33" s="219"/>
      <c r="AX33" s="219"/>
      <c r="AY33" s="219"/>
      <c r="AZ33" s="219"/>
      <c r="BA33" s="219"/>
      <c r="BB33" s="219"/>
      <c r="BC33" s="219"/>
      <c r="BD33" s="219"/>
      <c r="BE33" s="219"/>
      <c r="BF33" s="219"/>
    </row>
    <row r="34" spans="1:58" ht="6.6" customHeight="1" x14ac:dyDescent="0.2">
      <c r="A34" s="121"/>
      <c r="B34" s="280"/>
      <c r="C34" s="280"/>
      <c r="D34" s="64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  <c r="AC34" s="64"/>
      <c r="AD34" s="64"/>
      <c r="AE34" s="64"/>
      <c r="AF34" s="280"/>
      <c r="AG34" s="280"/>
      <c r="AH34" s="64"/>
      <c r="AI34" s="121"/>
      <c r="AJ34" s="64"/>
      <c r="AK34" s="64"/>
      <c r="AL34" s="64"/>
      <c r="AM34" s="71"/>
      <c r="AN34" s="61"/>
      <c r="AO34" s="61"/>
      <c r="AP34" s="61"/>
      <c r="AQ34" s="64"/>
      <c r="AR34" s="64"/>
      <c r="AS34" s="64"/>
      <c r="AT34" s="120"/>
      <c r="AV34" s="219"/>
      <c r="AW34" s="219"/>
      <c r="AX34" s="219"/>
      <c r="AY34" s="219"/>
      <c r="AZ34" s="219"/>
      <c r="BA34" s="219"/>
      <c r="BB34" s="219"/>
      <c r="BC34" s="219"/>
      <c r="BD34" s="219"/>
      <c r="BE34" s="219"/>
      <c r="BF34" s="219"/>
    </row>
    <row r="35" spans="1:58" ht="6.6" customHeight="1" x14ac:dyDescent="0.2">
      <c r="A35" s="190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191"/>
      <c r="AI35" s="121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120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</row>
    <row r="36" spans="1:58" ht="6.6" customHeight="1" x14ac:dyDescent="0.2">
      <c r="A36" s="121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121"/>
      <c r="AJ36" s="64"/>
      <c r="AK36" s="64"/>
      <c r="AL36" s="64"/>
      <c r="AM36" s="63"/>
      <c r="AN36" s="276"/>
      <c r="AO36" s="276"/>
      <c r="AP36" s="276"/>
      <c r="AQ36" s="64"/>
      <c r="AR36" s="64"/>
      <c r="AS36" s="64"/>
      <c r="AT36" s="120"/>
      <c r="AV36" s="219"/>
      <c r="AW36" s="219"/>
      <c r="AX36" s="219"/>
      <c r="AY36" s="219"/>
      <c r="AZ36" s="219"/>
      <c r="BA36" s="219"/>
      <c r="BB36" s="219"/>
      <c r="BC36" s="219"/>
      <c r="BD36" s="219"/>
      <c r="BE36" s="219"/>
      <c r="BF36" s="219"/>
    </row>
    <row r="37" spans="1:58" ht="6.6" customHeight="1" x14ac:dyDescent="0.2">
      <c r="A37" s="121"/>
      <c r="B37" s="280" t="s">
        <v>377</v>
      </c>
      <c r="C37" s="280"/>
      <c r="D37" s="64"/>
      <c r="E37" s="280" t="s">
        <v>521</v>
      </c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0"/>
      <c r="Z37" s="280"/>
      <c r="AA37" s="280"/>
      <c r="AB37" s="280"/>
      <c r="AC37" s="64"/>
      <c r="AD37" s="64"/>
      <c r="AE37" s="64"/>
      <c r="AF37" s="280" t="s">
        <v>383</v>
      </c>
      <c r="AG37" s="280"/>
      <c r="AH37" s="64"/>
      <c r="AI37" s="121"/>
      <c r="AJ37" s="64"/>
      <c r="AK37" s="64"/>
      <c r="AL37" s="64"/>
      <c r="AM37" s="63"/>
      <c r="AN37" s="276"/>
      <c r="AO37" s="276"/>
      <c r="AP37" s="276"/>
      <c r="AQ37" s="64"/>
      <c r="AR37" s="64"/>
      <c r="AS37" s="64"/>
      <c r="AT37" s="120"/>
      <c r="AV37" s="219"/>
      <c r="AW37" s="219"/>
      <c r="AX37" s="219"/>
      <c r="AY37" s="219"/>
      <c r="AZ37" s="219"/>
      <c r="BA37" s="219"/>
      <c r="BB37" s="219"/>
      <c r="BC37" s="219"/>
      <c r="BD37" s="219"/>
      <c r="BE37" s="219"/>
      <c r="BF37" s="219"/>
    </row>
    <row r="38" spans="1:58" ht="6.6" customHeight="1" x14ac:dyDescent="0.2">
      <c r="A38" s="121"/>
      <c r="B38" s="280"/>
      <c r="C38" s="280"/>
      <c r="D38" s="64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64"/>
      <c r="AD38" s="64"/>
      <c r="AE38" s="64"/>
      <c r="AF38" s="280"/>
      <c r="AG38" s="280"/>
      <c r="AH38" s="64"/>
      <c r="AI38" s="121"/>
      <c r="AJ38" s="64"/>
      <c r="AK38" s="64"/>
      <c r="AL38" s="64"/>
      <c r="AM38" s="71"/>
      <c r="AN38" s="61"/>
      <c r="AO38" s="61"/>
      <c r="AP38" s="61"/>
      <c r="AQ38" s="64"/>
      <c r="AR38" s="64"/>
      <c r="AS38" s="64"/>
      <c r="AT38" s="120"/>
      <c r="AV38" s="219"/>
      <c r="AW38" s="219"/>
      <c r="AX38" s="219"/>
      <c r="AY38" s="219"/>
      <c r="AZ38" s="219"/>
      <c r="BA38" s="219"/>
      <c r="BB38" s="219"/>
      <c r="BC38" s="219"/>
      <c r="BD38" s="219"/>
      <c r="BE38" s="219"/>
      <c r="BF38" s="219"/>
    </row>
    <row r="39" spans="1:58" ht="6.6" customHeight="1" thickBot="1" x14ac:dyDescent="0.25">
      <c r="A39" s="130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8"/>
      <c r="AI39" s="130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8"/>
      <c r="AV39" s="219"/>
      <c r="AW39" s="219"/>
      <c r="AX39" s="219"/>
      <c r="AY39" s="219"/>
      <c r="AZ39" s="219"/>
      <c r="BA39" s="219"/>
      <c r="BB39" s="219"/>
      <c r="BC39" s="219"/>
      <c r="BD39" s="219"/>
      <c r="BE39" s="219"/>
      <c r="BF39" s="219"/>
    </row>
    <row r="40" spans="1:58" ht="6.6" customHeight="1" thickTop="1" x14ac:dyDescent="0.2">
      <c r="A40" s="121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195"/>
      <c r="U40" s="64"/>
      <c r="V40" s="64"/>
      <c r="W40" s="64"/>
      <c r="X40" s="64"/>
      <c r="Y40" s="64"/>
      <c r="Z40" s="64"/>
      <c r="AA40" s="64"/>
      <c r="AB40" s="64"/>
      <c r="AC40" s="289" t="s">
        <v>408</v>
      </c>
      <c r="AD40" s="289"/>
      <c r="AE40" s="289"/>
      <c r="AF40" s="289"/>
      <c r="AG40" s="289"/>
      <c r="AH40" s="289"/>
      <c r="AI40" s="289"/>
      <c r="AJ40" s="289"/>
      <c r="AK40" s="289"/>
      <c r="AL40" s="289"/>
      <c r="AM40" s="64"/>
      <c r="AN40" s="276"/>
      <c r="AO40" s="64"/>
      <c r="AP40" s="64"/>
      <c r="AQ40" s="64"/>
      <c r="AR40" s="64"/>
      <c r="AS40" s="64"/>
      <c r="AT40" s="120"/>
      <c r="AV40" s="219"/>
      <c r="AW40" s="219"/>
      <c r="AX40" s="219"/>
      <c r="AY40" s="219"/>
      <c r="AZ40" s="219"/>
      <c r="BA40" s="219"/>
      <c r="BB40" s="219"/>
      <c r="BC40" s="219"/>
      <c r="BD40" s="219"/>
      <c r="BE40" s="219"/>
      <c r="BF40" s="219"/>
    </row>
    <row r="41" spans="1:58" ht="6.6" customHeight="1" x14ac:dyDescent="0.2">
      <c r="A41" s="282" t="s">
        <v>412</v>
      </c>
      <c r="B41" s="280"/>
      <c r="C41" s="280"/>
      <c r="D41" s="280"/>
      <c r="E41" s="280"/>
      <c r="F41" s="280"/>
      <c r="G41" s="280"/>
      <c r="H41" s="280"/>
      <c r="I41" s="280"/>
      <c r="J41" s="280"/>
      <c r="K41" s="280"/>
      <c r="L41" s="64"/>
      <c r="M41" s="64"/>
      <c r="N41" s="64"/>
      <c r="O41" s="64"/>
      <c r="P41" s="64"/>
      <c r="Q41" s="64"/>
      <c r="R41" s="64"/>
      <c r="S41" s="64"/>
      <c r="T41" s="67"/>
      <c r="U41" s="64"/>
      <c r="V41" s="64"/>
      <c r="W41" s="64"/>
      <c r="X41" s="64"/>
      <c r="Y41" s="64"/>
      <c r="Z41" s="64"/>
      <c r="AA41" s="64"/>
      <c r="AB41" s="64"/>
      <c r="AC41" s="290"/>
      <c r="AD41" s="290"/>
      <c r="AE41" s="290"/>
      <c r="AF41" s="290"/>
      <c r="AG41" s="290"/>
      <c r="AH41" s="290"/>
      <c r="AI41" s="290"/>
      <c r="AJ41" s="290"/>
      <c r="AK41" s="290"/>
      <c r="AL41" s="290"/>
      <c r="AM41" s="64"/>
      <c r="AN41" s="276"/>
      <c r="AO41" s="64"/>
      <c r="AP41" s="64"/>
      <c r="AQ41" s="64"/>
      <c r="AR41" s="64"/>
      <c r="AS41" s="64"/>
      <c r="AT41" s="120"/>
      <c r="AV41" s="219"/>
      <c r="AW41" s="219"/>
      <c r="AX41" s="219"/>
      <c r="AY41" s="219"/>
      <c r="AZ41" s="219"/>
      <c r="BA41" s="219"/>
      <c r="BB41" s="219"/>
      <c r="BC41" s="219"/>
      <c r="BD41" s="219"/>
      <c r="BE41" s="219"/>
      <c r="BF41" s="219"/>
    </row>
    <row r="42" spans="1:58" ht="6.6" customHeight="1" x14ac:dyDescent="0.2">
      <c r="A42" s="282"/>
      <c r="B42" s="280"/>
      <c r="C42" s="280"/>
      <c r="D42" s="280"/>
      <c r="E42" s="280"/>
      <c r="F42" s="280"/>
      <c r="G42" s="280"/>
      <c r="H42" s="280"/>
      <c r="I42" s="280"/>
      <c r="J42" s="280"/>
      <c r="K42" s="280"/>
      <c r="L42" s="64"/>
      <c r="M42" s="64"/>
      <c r="N42" s="64"/>
      <c r="O42" s="64"/>
      <c r="P42" s="64"/>
      <c r="Q42" s="64"/>
      <c r="R42" s="64"/>
      <c r="S42" s="64"/>
      <c r="T42" s="67"/>
      <c r="U42" s="64"/>
      <c r="V42" s="64"/>
      <c r="W42" s="64"/>
      <c r="X42" s="64"/>
      <c r="Y42" s="64"/>
      <c r="Z42" s="64"/>
      <c r="AA42" s="64"/>
      <c r="AB42" s="64"/>
      <c r="AC42" s="290"/>
      <c r="AD42" s="290"/>
      <c r="AE42" s="290"/>
      <c r="AF42" s="290"/>
      <c r="AG42" s="290"/>
      <c r="AH42" s="290"/>
      <c r="AI42" s="290"/>
      <c r="AJ42" s="290"/>
      <c r="AK42" s="290"/>
      <c r="AL42" s="290"/>
      <c r="AM42" s="64"/>
      <c r="AN42" s="61"/>
      <c r="AO42" s="64"/>
      <c r="AP42" s="64"/>
      <c r="AQ42" s="64"/>
      <c r="AR42" s="64"/>
      <c r="AS42" s="64"/>
      <c r="AT42" s="120"/>
      <c r="AV42" s="219"/>
      <c r="AW42" s="219"/>
      <c r="AX42" s="219"/>
      <c r="AY42" s="219"/>
      <c r="AZ42" s="219"/>
      <c r="BA42" s="219"/>
      <c r="BB42" s="219"/>
      <c r="BC42" s="219"/>
      <c r="BD42" s="219"/>
      <c r="BE42" s="219"/>
      <c r="BF42" s="219"/>
    </row>
    <row r="43" spans="1:58" ht="6.6" customHeight="1" x14ac:dyDescent="0.2">
      <c r="A43" s="185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64"/>
      <c r="M43" s="64"/>
      <c r="N43" s="64"/>
      <c r="O43" s="64"/>
      <c r="P43" s="64"/>
      <c r="Q43" s="64"/>
      <c r="R43" s="64"/>
      <c r="S43" s="64"/>
      <c r="T43" s="67"/>
      <c r="U43" s="64"/>
      <c r="V43" s="64"/>
      <c r="W43" s="64"/>
      <c r="X43" s="64"/>
      <c r="Y43" s="64"/>
      <c r="Z43" s="64"/>
      <c r="AA43" s="64"/>
      <c r="AB43" s="64"/>
      <c r="AC43" s="291" t="s">
        <v>530</v>
      </c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64"/>
      <c r="AQ43" s="64"/>
      <c r="AR43" s="64"/>
      <c r="AS43" s="64"/>
      <c r="AT43" s="120"/>
      <c r="AV43" s="219"/>
      <c r="AW43" s="219"/>
      <c r="AX43" s="219"/>
      <c r="AY43" s="219"/>
      <c r="AZ43" s="219"/>
      <c r="BA43" s="219"/>
      <c r="BB43" s="219"/>
      <c r="BC43" s="219"/>
      <c r="BD43" s="219"/>
      <c r="BE43" s="219"/>
      <c r="BF43" s="219"/>
    </row>
    <row r="44" spans="1:58" ht="6.6" customHeight="1" x14ac:dyDescent="0.2">
      <c r="A44" s="190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196"/>
      <c r="U44" s="76"/>
      <c r="V44" s="76"/>
      <c r="W44" s="76"/>
      <c r="X44" s="76"/>
      <c r="Y44" s="76"/>
      <c r="Z44" s="76"/>
      <c r="AA44" s="76"/>
      <c r="AB44" s="76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76"/>
      <c r="AQ44" s="76"/>
      <c r="AR44" s="76"/>
      <c r="AS44" s="76"/>
      <c r="AT44" s="191"/>
      <c r="AV44" s="219"/>
      <c r="AW44" s="219"/>
      <c r="AX44" s="219"/>
      <c r="AY44" s="219"/>
      <c r="AZ44" s="219"/>
      <c r="BA44" s="219"/>
      <c r="BB44" s="219"/>
      <c r="BC44" s="219"/>
      <c r="BD44" s="219"/>
      <c r="BE44" s="219"/>
      <c r="BF44" s="219"/>
    </row>
    <row r="45" spans="1:58" ht="6.6" customHeight="1" x14ac:dyDescent="0.2">
      <c r="A45" s="283" t="s">
        <v>384</v>
      </c>
      <c r="B45" s="79"/>
      <c r="C45" s="294" t="s">
        <v>385</v>
      </c>
      <c r="D45" s="294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85"/>
      <c r="U45" s="285"/>
      <c r="V45" s="285"/>
      <c r="W45" s="285"/>
      <c r="X45" s="285"/>
      <c r="Y45" s="285"/>
      <c r="Z45" s="285"/>
      <c r="AA45" s="285"/>
      <c r="AB45" s="285"/>
      <c r="AC45" s="285"/>
      <c r="AD45" s="285"/>
      <c r="AE45" s="285"/>
      <c r="AF45" s="285"/>
      <c r="AG45" s="285"/>
      <c r="AH45" s="285"/>
      <c r="AI45" s="285"/>
      <c r="AJ45" s="285"/>
      <c r="AK45" s="285"/>
      <c r="AL45" s="285"/>
      <c r="AM45" s="285"/>
      <c r="AN45" s="285"/>
      <c r="AO45" s="285"/>
      <c r="AP45" s="285"/>
      <c r="AQ45" s="285"/>
      <c r="AR45" s="285"/>
      <c r="AS45" s="285"/>
      <c r="AT45" s="287"/>
      <c r="AV45" s="219"/>
      <c r="AW45" s="219"/>
      <c r="AX45" s="219"/>
      <c r="AY45" s="219"/>
      <c r="AZ45" s="219"/>
      <c r="BA45" s="219"/>
      <c r="BB45" s="219"/>
      <c r="BC45" s="219"/>
      <c r="BD45" s="219"/>
      <c r="BE45" s="219"/>
      <c r="BF45" s="219"/>
    </row>
    <row r="46" spans="1:58" ht="6.6" customHeight="1" x14ac:dyDescent="0.2">
      <c r="A46" s="284"/>
      <c r="B46" s="76"/>
      <c r="C46" s="295"/>
      <c r="D46" s="295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8"/>
      <c r="AV46" s="219"/>
      <c r="AW46" s="219"/>
      <c r="AX46" s="219"/>
      <c r="AY46" s="219"/>
      <c r="AZ46" s="219"/>
      <c r="BA46" s="219"/>
      <c r="BB46" s="219"/>
      <c r="BC46" s="219"/>
      <c r="BD46" s="219"/>
      <c r="BE46" s="219"/>
      <c r="BF46" s="219"/>
    </row>
    <row r="47" spans="1:58" ht="6.6" customHeight="1" x14ac:dyDescent="0.2">
      <c r="A47" s="283" t="s">
        <v>386</v>
      </c>
      <c r="B47" s="79"/>
      <c r="C47" s="294" t="s">
        <v>397</v>
      </c>
      <c r="D47" s="294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85"/>
      <c r="U47" s="285"/>
      <c r="V47" s="285"/>
      <c r="W47" s="285"/>
      <c r="X47" s="285"/>
      <c r="Y47" s="285"/>
      <c r="Z47" s="285"/>
      <c r="AA47" s="285"/>
      <c r="AB47" s="285"/>
      <c r="AC47" s="285"/>
      <c r="AD47" s="285"/>
      <c r="AE47" s="285"/>
      <c r="AF47" s="285"/>
      <c r="AG47" s="285"/>
      <c r="AH47" s="285"/>
      <c r="AI47" s="285"/>
      <c r="AJ47" s="285"/>
      <c r="AK47" s="285"/>
      <c r="AL47" s="285"/>
      <c r="AM47" s="285"/>
      <c r="AN47" s="285"/>
      <c r="AO47" s="285"/>
      <c r="AP47" s="285"/>
      <c r="AQ47" s="285"/>
      <c r="AR47" s="285"/>
      <c r="AS47" s="285"/>
      <c r="AT47" s="287"/>
      <c r="AV47" s="219"/>
      <c r="AW47" s="219"/>
      <c r="AX47" s="219"/>
      <c r="AY47" s="219"/>
      <c r="AZ47" s="219"/>
      <c r="BA47" s="219"/>
      <c r="BB47" s="219"/>
      <c r="BC47" s="219"/>
      <c r="BD47" s="219"/>
      <c r="BE47" s="219"/>
      <c r="BF47" s="219"/>
    </row>
    <row r="48" spans="1:58" ht="6.6" customHeight="1" x14ac:dyDescent="0.2">
      <c r="A48" s="284"/>
      <c r="B48" s="76"/>
      <c r="C48" s="295"/>
      <c r="D48" s="295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8"/>
      <c r="AV48" s="219"/>
      <c r="AW48" s="219"/>
      <c r="AX48" s="219"/>
      <c r="AY48" s="219"/>
      <c r="AZ48" s="219"/>
      <c r="BA48" s="219"/>
      <c r="BB48" s="219"/>
      <c r="BC48" s="219"/>
      <c r="BD48" s="219"/>
      <c r="BE48" s="219"/>
      <c r="BF48" s="219"/>
    </row>
    <row r="49" spans="1:58" ht="6.6" customHeight="1" x14ac:dyDescent="0.2">
      <c r="A49" s="283" t="s">
        <v>387</v>
      </c>
      <c r="B49" s="79"/>
      <c r="C49" s="294" t="s">
        <v>398</v>
      </c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345"/>
      <c r="U49" s="345"/>
      <c r="V49" s="345"/>
      <c r="W49" s="345"/>
      <c r="X49" s="345"/>
      <c r="Y49" s="345"/>
      <c r="Z49" s="345"/>
      <c r="AA49" s="345"/>
      <c r="AB49" s="345"/>
      <c r="AC49" s="345" t="str">
        <f>IF(AC45, ROUND(100*AC47/AC45,2),"")</f>
        <v/>
      </c>
      <c r="AD49" s="345"/>
      <c r="AE49" s="345"/>
      <c r="AF49" s="345"/>
      <c r="AG49" s="345"/>
      <c r="AH49" s="345"/>
      <c r="AI49" s="345"/>
      <c r="AJ49" s="345"/>
      <c r="AK49" s="345"/>
      <c r="AL49" s="345" t="str">
        <f>IF(AL45, ROUND(100*AL47/AL45,2),"")</f>
        <v/>
      </c>
      <c r="AM49" s="345"/>
      <c r="AN49" s="345"/>
      <c r="AO49" s="345"/>
      <c r="AP49" s="345"/>
      <c r="AQ49" s="345"/>
      <c r="AR49" s="345"/>
      <c r="AS49" s="345"/>
      <c r="AT49" s="347"/>
      <c r="AV49" s="219"/>
      <c r="AW49" s="219"/>
      <c r="AX49" s="219"/>
      <c r="AY49" s="219"/>
      <c r="AZ49" s="219"/>
      <c r="BA49" s="219"/>
      <c r="BB49" s="219"/>
      <c r="BC49" s="219"/>
      <c r="BD49" s="219"/>
      <c r="BE49" s="219"/>
      <c r="BF49" s="219"/>
    </row>
    <row r="50" spans="1:58" ht="6.6" customHeight="1" x14ac:dyDescent="0.2">
      <c r="A50" s="284"/>
      <c r="B50" s="76"/>
      <c r="C50" s="295"/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346"/>
      <c r="U50" s="346"/>
      <c r="V50" s="346"/>
      <c r="W50" s="346"/>
      <c r="X50" s="346"/>
      <c r="Y50" s="346"/>
      <c r="Z50" s="346"/>
      <c r="AA50" s="346"/>
      <c r="AB50" s="346"/>
      <c r="AC50" s="346"/>
      <c r="AD50" s="346"/>
      <c r="AE50" s="346"/>
      <c r="AF50" s="346"/>
      <c r="AG50" s="346"/>
      <c r="AH50" s="346"/>
      <c r="AI50" s="346"/>
      <c r="AJ50" s="346"/>
      <c r="AK50" s="346"/>
      <c r="AL50" s="346"/>
      <c r="AM50" s="346"/>
      <c r="AN50" s="346"/>
      <c r="AO50" s="346"/>
      <c r="AP50" s="346"/>
      <c r="AQ50" s="346"/>
      <c r="AR50" s="346"/>
      <c r="AS50" s="346"/>
      <c r="AT50" s="348"/>
      <c r="AV50" s="219"/>
      <c r="AW50" s="219"/>
      <c r="AX50" s="219"/>
      <c r="AY50" s="219"/>
      <c r="AZ50" s="219"/>
      <c r="BA50" s="219"/>
      <c r="BB50" s="219"/>
      <c r="BC50" s="219"/>
      <c r="BD50" s="219"/>
      <c r="BE50" s="219"/>
      <c r="BF50" s="219"/>
    </row>
    <row r="51" spans="1:58" ht="6.6" customHeight="1" x14ac:dyDescent="0.2">
      <c r="A51" s="283" t="s">
        <v>388</v>
      </c>
      <c r="B51" s="79"/>
      <c r="C51" s="294" t="s">
        <v>399</v>
      </c>
      <c r="D51" s="294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85">
        <v>13.51</v>
      </c>
      <c r="U51" s="285"/>
      <c r="V51" s="285"/>
      <c r="W51" s="285"/>
      <c r="X51" s="285"/>
      <c r="Y51" s="285"/>
      <c r="Z51" s="285"/>
      <c r="AA51" s="285"/>
      <c r="AB51" s="285"/>
      <c r="AC51" s="285">
        <v>13.34</v>
      </c>
      <c r="AD51" s="285"/>
      <c r="AE51" s="285"/>
      <c r="AF51" s="285"/>
      <c r="AG51" s="285"/>
      <c r="AH51" s="285"/>
      <c r="AI51" s="285"/>
      <c r="AJ51" s="285"/>
      <c r="AK51" s="285"/>
      <c r="AL51" s="285">
        <v>13.51</v>
      </c>
      <c r="AM51" s="285"/>
      <c r="AN51" s="285"/>
      <c r="AO51" s="285"/>
      <c r="AP51" s="285"/>
      <c r="AQ51" s="285"/>
      <c r="AR51" s="285"/>
      <c r="AS51" s="285"/>
      <c r="AT51" s="287"/>
      <c r="AV51" s="219"/>
      <c r="AW51" s="219"/>
      <c r="AX51" s="219"/>
      <c r="AY51" s="219"/>
      <c r="AZ51" s="219"/>
      <c r="BA51" s="219"/>
      <c r="BB51" s="219"/>
      <c r="BC51" s="219"/>
      <c r="BD51" s="219"/>
      <c r="BE51" s="219"/>
      <c r="BF51" s="219"/>
    </row>
    <row r="52" spans="1:58" ht="6.6" customHeight="1" x14ac:dyDescent="0.2">
      <c r="A52" s="284"/>
      <c r="B52" s="76"/>
      <c r="C52" s="295"/>
      <c r="D52" s="295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8"/>
      <c r="AV52" s="219"/>
      <c r="AW52" s="219"/>
      <c r="AX52" s="219"/>
      <c r="AY52" s="219"/>
      <c r="AZ52" s="219"/>
      <c r="BA52" s="219"/>
      <c r="BB52" s="219"/>
      <c r="BC52" s="219"/>
      <c r="BD52" s="219"/>
      <c r="BE52" s="219"/>
      <c r="BF52" s="219"/>
    </row>
    <row r="53" spans="1:58" ht="6.6" customHeight="1" x14ac:dyDescent="0.2">
      <c r="A53" s="283" t="s">
        <v>389</v>
      </c>
      <c r="B53" s="79"/>
      <c r="C53" s="294" t="s">
        <v>400</v>
      </c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85">
        <v>9.32</v>
      </c>
      <c r="U53" s="285"/>
      <c r="V53" s="285"/>
      <c r="W53" s="285"/>
      <c r="X53" s="285"/>
      <c r="Y53" s="285"/>
      <c r="Z53" s="285"/>
      <c r="AA53" s="285"/>
      <c r="AB53" s="285"/>
      <c r="AC53" s="285">
        <v>9.33</v>
      </c>
      <c r="AD53" s="285"/>
      <c r="AE53" s="285"/>
      <c r="AF53" s="285"/>
      <c r="AG53" s="285"/>
      <c r="AH53" s="285"/>
      <c r="AI53" s="285"/>
      <c r="AJ53" s="285"/>
      <c r="AK53" s="285"/>
      <c r="AL53" s="285">
        <v>9.32</v>
      </c>
      <c r="AM53" s="285"/>
      <c r="AN53" s="285"/>
      <c r="AO53" s="285"/>
      <c r="AP53" s="285"/>
      <c r="AQ53" s="285"/>
      <c r="AR53" s="285"/>
      <c r="AS53" s="285"/>
      <c r="AT53" s="287"/>
      <c r="AV53" s="219"/>
      <c r="AW53" s="219"/>
      <c r="AX53" s="219"/>
      <c r="AY53" s="219"/>
      <c r="AZ53" s="219"/>
      <c r="BA53" s="219"/>
      <c r="BB53" s="219"/>
      <c r="BC53" s="219"/>
      <c r="BD53" s="219"/>
      <c r="BE53" s="219"/>
      <c r="BF53" s="219"/>
    </row>
    <row r="54" spans="1:58" ht="6.6" customHeight="1" x14ac:dyDescent="0.2">
      <c r="A54" s="284"/>
      <c r="B54" s="76"/>
      <c r="C54" s="295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8"/>
      <c r="AV54" s="219"/>
      <c r="AW54" s="219"/>
      <c r="AX54" s="219"/>
      <c r="AY54" s="219"/>
      <c r="AZ54" s="219"/>
      <c r="BA54" s="219"/>
      <c r="BB54" s="219"/>
      <c r="BC54" s="219"/>
      <c r="BD54" s="219"/>
      <c r="BE54" s="219"/>
      <c r="BF54" s="219"/>
    </row>
    <row r="55" spans="1:58" ht="6.6" customHeight="1" x14ac:dyDescent="0.2">
      <c r="A55" s="283" t="s">
        <v>390</v>
      </c>
      <c r="B55" s="79"/>
      <c r="C55" s="294" t="s">
        <v>401</v>
      </c>
      <c r="D55" s="294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345">
        <f>IF(T51,T51-T53,"")</f>
        <v>4.1899999999999995</v>
      </c>
      <c r="U55" s="345"/>
      <c r="V55" s="345"/>
      <c r="W55" s="345"/>
      <c r="X55" s="345"/>
      <c r="Y55" s="345"/>
      <c r="Z55" s="345"/>
      <c r="AA55" s="345"/>
      <c r="AB55" s="345"/>
      <c r="AC55" s="345">
        <f>IF(AC51,AC51-AC53,"")</f>
        <v>4.01</v>
      </c>
      <c r="AD55" s="345"/>
      <c r="AE55" s="345"/>
      <c r="AF55" s="345"/>
      <c r="AG55" s="345"/>
      <c r="AH55" s="345"/>
      <c r="AI55" s="345"/>
      <c r="AJ55" s="345"/>
      <c r="AK55" s="345"/>
      <c r="AL55" s="345">
        <f>IF(AL51,AL51-AL53,"")</f>
        <v>4.1899999999999995</v>
      </c>
      <c r="AM55" s="345"/>
      <c r="AN55" s="345"/>
      <c r="AO55" s="345"/>
      <c r="AP55" s="345"/>
      <c r="AQ55" s="345"/>
      <c r="AR55" s="345"/>
      <c r="AS55" s="345"/>
      <c r="AT55" s="347"/>
      <c r="AV55" s="219"/>
      <c r="AW55" s="219"/>
      <c r="AX55" s="219"/>
      <c r="AY55" s="219"/>
      <c r="AZ55" s="219"/>
      <c r="BA55" s="219"/>
      <c r="BB55" s="219"/>
      <c r="BC55" s="219"/>
      <c r="BD55" s="219"/>
      <c r="BE55" s="219"/>
      <c r="BF55" s="219"/>
    </row>
    <row r="56" spans="1:58" ht="6.6" customHeight="1" x14ac:dyDescent="0.2">
      <c r="A56" s="284"/>
      <c r="B56" s="76"/>
      <c r="C56" s="295"/>
      <c r="D56" s="295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346"/>
      <c r="U56" s="346"/>
      <c r="V56" s="346"/>
      <c r="W56" s="346"/>
      <c r="X56" s="346"/>
      <c r="Y56" s="346"/>
      <c r="Z56" s="346"/>
      <c r="AA56" s="346"/>
      <c r="AB56" s="346"/>
      <c r="AC56" s="346"/>
      <c r="AD56" s="346"/>
      <c r="AE56" s="346"/>
      <c r="AF56" s="346"/>
      <c r="AG56" s="346"/>
      <c r="AH56" s="346"/>
      <c r="AI56" s="346"/>
      <c r="AJ56" s="346"/>
      <c r="AK56" s="346"/>
      <c r="AL56" s="346"/>
      <c r="AM56" s="346"/>
      <c r="AN56" s="346"/>
      <c r="AO56" s="346"/>
      <c r="AP56" s="346"/>
      <c r="AQ56" s="346"/>
      <c r="AR56" s="346"/>
      <c r="AS56" s="346"/>
      <c r="AT56" s="348"/>
      <c r="AV56" s="219"/>
      <c r="AW56" s="219"/>
      <c r="AX56" s="219"/>
      <c r="AY56" s="219"/>
      <c r="AZ56" s="219"/>
      <c r="BA56" s="219"/>
      <c r="BB56" s="219"/>
      <c r="BC56" s="219"/>
      <c r="BD56" s="219"/>
      <c r="BE56" s="219"/>
      <c r="BF56" s="219"/>
    </row>
    <row r="57" spans="1:58" ht="6.6" customHeight="1" x14ac:dyDescent="0.2">
      <c r="A57" s="283" t="s">
        <v>391</v>
      </c>
      <c r="B57" s="79"/>
      <c r="C57" s="294" t="s">
        <v>402</v>
      </c>
      <c r="D57" s="294"/>
      <c r="E57" s="294"/>
      <c r="F57" s="294"/>
      <c r="G57" s="294"/>
      <c r="H57" s="294"/>
      <c r="I57" s="294"/>
      <c r="J57" s="349" t="s">
        <v>527</v>
      </c>
      <c r="K57" s="350"/>
      <c r="L57" s="350"/>
      <c r="M57" s="350"/>
      <c r="N57" s="350"/>
      <c r="O57" s="81"/>
      <c r="P57" s="81"/>
      <c r="Q57" s="81"/>
      <c r="R57" s="81"/>
      <c r="S57" s="82"/>
      <c r="T57" s="352">
        <f>IF(T55&lt;&gt;"",IF(MID($J57,4,1)="/",ROUND(T55/MID($J57,6,5),1),ROUND(T55*MID($J57,6,2),1)),"")</f>
        <v>125.7</v>
      </c>
      <c r="U57" s="352"/>
      <c r="V57" s="352"/>
      <c r="W57" s="352"/>
      <c r="X57" s="352"/>
      <c r="Y57" s="352"/>
      <c r="Z57" s="352"/>
      <c r="AA57" s="352"/>
      <c r="AB57" s="352"/>
      <c r="AC57" s="352">
        <f>IF(AC55&lt;&gt;"",IF(MID($J57,4,1)="/",ROUND(AC55/MID($J57,6,5),1),ROUND(AC55*MID($J57,6,2),1)),"")</f>
        <v>120.3</v>
      </c>
      <c r="AD57" s="352"/>
      <c r="AE57" s="352"/>
      <c r="AF57" s="352"/>
      <c r="AG57" s="352"/>
      <c r="AH57" s="352"/>
      <c r="AI57" s="352"/>
      <c r="AJ57" s="352"/>
      <c r="AK57" s="352"/>
      <c r="AL57" s="352">
        <f>IF(AL55&lt;&gt;"",IF(MID($J57,4,1)="/",ROUND(AL55/MID($J57,6,5),1),ROUND(AL55*MID($J57,6,2),1)),"")</f>
        <v>125.7</v>
      </c>
      <c r="AM57" s="352"/>
      <c r="AN57" s="352"/>
      <c r="AO57" s="352"/>
      <c r="AP57" s="352"/>
      <c r="AQ57" s="352"/>
      <c r="AR57" s="352"/>
      <c r="AS57" s="352"/>
      <c r="AT57" s="354"/>
      <c r="AV57" s="219"/>
      <c r="AW57" s="219"/>
      <c r="AX57" s="219"/>
      <c r="AY57" s="219"/>
      <c r="AZ57" s="219"/>
      <c r="BA57" s="219"/>
      <c r="BB57" s="219"/>
      <c r="BC57" s="219"/>
      <c r="BD57" s="219"/>
      <c r="BE57" s="219"/>
      <c r="BF57" s="219"/>
    </row>
    <row r="58" spans="1:58" ht="6.6" customHeight="1" x14ac:dyDescent="0.2">
      <c r="A58" s="284"/>
      <c r="B58" s="76"/>
      <c r="C58" s="295"/>
      <c r="D58" s="295"/>
      <c r="E58" s="295"/>
      <c r="F58" s="295"/>
      <c r="G58" s="295"/>
      <c r="H58" s="295"/>
      <c r="I58" s="295"/>
      <c r="J58" s="351"/>
      <c r="K58" s="351"/>
      <c r="L58" s="351"/>
      <c r="M58" s="351"/>
      <c r="N58" s="351"/>
      <c r="O58" s="87"/>
      <c r="P58" s="87"/>
      <c r="Q58" s="87"/>
      <c r="R58" s="87"/>
      <c r="S58" s="194"/>
      <c r="T58" s="353"/>
      <c r="U58" s="353"/>
      <c r="V58" s="353"/>
      <c r="W58" s="353"/>
      <c r="X58" s="353"/>
      <c r="Y58" s="353"/>
      <c r="Z58" s="353"/>
      <c r="AA58" s="353"/>
      <c r="AB58" s="353"/>
      <c r="AC58" s="353"/>
      <c r="AD58" s="353"/>
      <c r="AE58" s="353"/>
      <c r="AF58" s="353"/>
      <c r="AG58" s="353"/>
      <c r="AH58" s="353"/>
      <c r="AI58" s="353"/>
      <c r="AJ58" s="353"/>
      <c r="AK58" s="353"/>
      <c r="AL58" s="353"/>
      <c r="AM58" s="353"/>
      <c r="AN58" s="353"/>
      <c r="AO58" s="353"/>
      <c r="AP58" s="353"/>
      <c r="AQ58" s="353"/>
      <c r="AR58" s="353"/>
      <c r="AS58" s="353"/>
      <c r="AT58" s="355"/>
      <c r="AV58" s="219"/>
      <c r="AW58" s="219"/>
      <c r="AX58" s="219"/>
      <c r="AY58" s="219"/>
      <c r="AZ58" s="219"/>
      <c r="BA58" s="219"/>
      <c r="BB58" s="219"/>
      <c r="BC58" s="219"/>
      <c r="BD58" s="219"/>
      <c r="BE58" s="219"/>
      <c r="BF58" s="219"/>
    </row>
    <row r="59" spans="1:58" ht="6.6" customHeight="1" x14ac:dyDescent="0.2">
      <c r="A59" s="283" t="s">
        <v>392</v>
      </c>
      <c r="B59" s="79"/>
      <c r="C59" s="294" t="s">
        <v>403</v>
      </c>
      <c r="D59" s="294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85">
        <v>1.44</v>
      </c>
      <c r="U59" s="285"/>
      <c r="V59" s="285"/>
      <c r="W59" s="285"/>
      <c r="X59" s="285"/>
      <c r="Y59" s="285"/>
      <c r="Z59" s="285"/>
      <c r="AA59" s="285"/>
      <c r="AB59" s="285"/>
      <c r="AC59" s="285">
        <v>1.39</v>
      </c>
      <c r="AD59" s="285"/>
      <c r="AE59" s="285"/>
      <c r="AF59" s="285"/>
      <c r="AG59" s="285"/>
      <c r="AH59" s="285"/>
      <c r="AI59" s="285"/>
      <c r="AJ59" s="285"/>
      <c r="AK59" s="285"/>
      <c r="AL59" s="285">
        <v>1.4</v>
      </c>
      <c r="AM59" s="285"/>
      <c r="AN59" s="285"/>
      <c r="AO59" s="285"/>
      <c r="AP59" s="285"/>
      <c r="AQ59" s="285"/>
      <c r="AR59" s="285"/>
      <c r="AS59" s="285"/>
      <c r="AT59" s="287"/>
      <c r="AV59" s="219"/>
      <c r="AW59" s="219"/>
      <c r="AX59" s="219"/>
      <c r="AY59" s="219"/>
      <c r="AZ59" s="219"/>
      <c r="BA59" s="219"/>
      <c r="BB59" s="219"/>
      <c r="BC59" s="219"/>
      <c r="BD59" s="219"/>
      <c r="BE59" s="219"/>
      <c r="BF59" s="219"/>
    </row>
    <row r="60" spans="1:58" ht="6.6" customHeight="1" x14ac:dyDescent="0.2">
      <c r="A60" s="284"/>
      <c r="B60" s="76"/>
      <c r="C60" s="295"/>
      <c r="D60" s="295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8"/>
      <c r="AV60" s="219"/>
      <c r="AW60" s="219"/>
      <c r="AX60" s="219"/>
      <c r="AY60" s="219"/>
      <c r="AZ60" s="219"/>
      <c r="BA60" s="219"/>
      <c r="BB60" s="219"/>
      <c r="BC60" s="219"/>
      <c r="BD60" s="219"/>
      <c r="BE60" s="219"/>
      <c r="BF60" s="219"/>
    </row>
    <row r="61" spans="1:58" ht="6.6" customHeight="1" x14ac:dyDescent="0.2">
      <c r="A61" s="283" t="s">
        <v>393</v>
      </c>
      <c r="B61" s="79"/>
      <c r="C61" s="294" t="s">
        <v>404</v>
      </c>
      <c r="D61" s="294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85">
        <v>1.25</v>
      </c>
      <c r="U61" s="285"/>
      <c r="V61" s="285"/>
      <c r="W61" s="285"/>
      <c r="X61" s="285"/>
      <c r="Y61" s="285"/>
      <c r="Z61" s="285"/>
      <c r="AA61" s="285"/>
      <c r="AB61" s="285"/>
      <c r="AC61" s="285">
        <v>1.23</v>
      </c>
      <c r="AD61" s="285"/>
      <c r="AE61" s="285"/>
      <c r="AF61" s="285"/>
      <c r="AG61" s="285"/>
      <c r="AH61" s="285"/>
      <c r="AI61" s="285"/>
      <c r="AJ61" s="285"/>
      <c r="AK61" s="285"/>
      <c r="AL61" s="285">
        <v>1.18</v>
      </c>
      <c r="AM61" s="285"/>
      <c r="AN61" s="285"/>
      <c r="AO61" s="285"/>
      <c r="AP61" s="285"/>
      <c r="AQ61" s="285"/>
      <c r="AR61" s="285"/>
      <c r="AS61" s="285"/>
      <c r="AT61" s="287"/>
      <c r="AV61" s="219"/>
      <c r="AW61" s="219"/>
      <c r="AX61" s="219"/>
      <c r="AY61" s="219"/>
      <c r="AZ61" s="219"/>
      <c r="BA61" s="219"/>
      <c r="BB61" s="219"/>
      <c r="BC61" s="219"/>
      <c r="BD61" s="219"/>
      <c r="BE61" s="219"/>
      <c r="BF61" s="219"/>
    </row>
    <row r="62" spans="1:58" ht="6.6" customHeight="1" x14ac:dyDescent="0.2">
      <c r="A62" s="284"/>
      <c r="B62" s="76"/>
      <c r="C62" s="295"/>
      <c r="D62" s="295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8"/>
      <c r="AV62" s="219"/>
      <c r="AW62" s="219"/>
      <c r="AX62" s="219"/>
      <c r="AY62" s="219"/>
      <c r="AZ62" s="219"/>
      <c r="BA62" s="219"/>
      <c r="BB62" s="219"/>
      <c r="BC62" s="219"/>
      <c r="BD62" s="219"/>
      <c r="BE62" s="219"/>
      <c r="BF62" s="219"/>
    </row>
    <row r="63" spans="1:58" ht="6.6" customHeight="1" x14ac:dyDescent="0.2">
      <c r="A63" s="283" t="s">
        <v>394</v>
      </c>
      <c r="B63" s="79"/>
      <c r="C63" s="294" t="s">
        <v>405</v>
      </c>
      <c r="D63" s="294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345">
        <f>IF(T59,T59-T61,"")</f>
        <v>0.18999999999999995</v>
      </c>
      <c r="U63" s="345"/>
      <c r="V63" s="345"/>
      <c r="W63" s="345"/>
      <c r="X63" s="345"/>
      <c r="Y63" s="345"/>
      <c r="Z63" s="345"/>
      <c r="AA63" s="345"/>
      <c r="AB63" s="345"/>
      <c r="AC63" s="345">
        <f>IF(AC59,AC59-AC61,"")</f>
        <v>0.15999999999999992</v>
      </c>
      <c r="AD63" s="345"/>
      <c r="AE63" s="345"/>
      <c r="AF63" s="345"/>
      <c r="AG63" s="345"/>
      <c r="AH63" s="345"/>
      <c r="AI63" s="345"/>
      <c r="AJ63" s="345"/>
      <c r="AK63" s="345"/>
      <c r="AL63" s="345">
        <f>IF(AL59,AL59-AL61,"")</f>
        <v>0.21999999999999997</v>
      </c>
      <c r="AM63" s="345"/>
      <c r="AN63" s="345"/>
      <c r="AO63" s="345"/>
      <c r="AP63" s="345"/>
      <c r="AQ63" s="345"/>
      <c r="AR63" s="345"/>
      <c r="AS63" s="345"/>
      <c r="AT63" s="347"/>
      <c r="AV63" s="219"/>
      <c r="AW63" s="219"/>
      <c r="AX63" s="219"/>
      <c r="AY63" s="219"/>
      <c r="AZ63" s="219"/>
      <c r="BA63" s="219"/>
      <c r="BB63" s="219"/>
      <c r="BC63" s="219"/>
      <c r="BD63" s="219"/>
      <c r="BE63" s="219"/>
      <c r="BF63" s="219"/>
    </row>
    <row r="64" spans="1:58" ht="6.6" customHeight="1" x14ac:dyDescent="0.2">
      <c r="A64" s="284"/>
      <c r="B64" s="76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346"/>
      <c r="U64" s="346"/>
      <c r="V64" s="346"/>
      <c r="W64" s="346"/>
      <c r="X64" s="346"/>
      <c r="Y64" s="346"/>
      <c r="Z64" s="346"/>
      <c r="AA64" s="346"/>
      <c r="AB64" s="346"/>
      <c r="AC64" s="346"/>
      <c r="AD64" s="346"/>
      <c r="AE64" s="346"/>
      <c r="AF64" s="346"/>
      <c r="AG64" s="346"/>
      <c r="AH64" s="346"/>
      <c r="AI64" s="346"/>
      <c r="AJ64" s="346"/>
      <c r="AK64" s="346"/>
      <c r="AL64" s="346"/>
      <c r="AM64" s="346"/>
      <c r="AN64" s="346"/>
      <c r="AO64" s="346"/>
      <c r="AP64" s="346"/>
      <c r="AQ64" s="346"/>
      <c r="AR64" s="346"/>
      <c r="AS64" s="346"/>
      <c r="AT64" s="348"/>
      <c r="AV64" s="219"/>
      <c r="AW64" s="219"/>
      <c r="AX64" s="219"/>
      <c r="AY64" s="219"/>
      <c r="AZ64" s="219"/>
      <c r="BA64" s="219"/>
      <c r="BB64" s="219"/>
      <c r="BC64" s="219"/>
      <c r="BD64" s="219"/>
      <c r="BE64" s="219"/>
      <c r="BF64" s="219"/>
    </row>
    <row r="65" spans="1:58" ht="6.6" customHeight="1" x14ac:dyDescent="0.2">
      <c r="A65" s="283" t="s">
        <v>395</v>
      </c>
      <c r="B65" s="79"/>
      <c r="C65" s="294" t="s">
        <v>406</v>
      </c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356">
        <f>IF(T61, ROUND(100*T63/T61,1),"")</f>
        <v>15.2</v>
      </c>
      <c r="U65" s="356"/>
      <c r="V65" s="356"/>
      <c r="W65" s="356"/>
      <c r="X65" s="356"/>
      <c r="Y65" s="356"/>
      <c r="Z65" s="356"/>
      <c r="AA65" s="356"/>
      <c r="AB65" s="356"/>
      <c r="AC65" s="356">
        <f>IF(AC61, ROUND(100*AC63/AC61,1),"")</f>
        <v>13</v>
      </c>
      <c r="AD65" s="356"/>
      <c r="AE65" s="356"/>
      <c r="AF65" s="356"/>
      <c r="AG65" s="356"/>
      <c r="AH65" s="356"/>
      <c r="AI65" s="356"/>
      <c r="AJ65" s="356"/>
      <c r="AK65" s="356"/>
      <c r="AL65" s="356">
        <f>IF(AL61, ROUND(100*AL63/AL61,1),"")</f>
        <v>18.600000000000001</v>
      </c>
      <c r="AM65" s="356"/>
      <c r="AN65" s="356"/>
      <c r="AO65" s="356"/>
      <c r="AP65" s="356"/>
      <c r="AQ65" s="356"/>
      <c r="AR65" s="356"/>
      <c r="AS65" s="356"/>
      <c r="AT65" s="358"/>
      <c r="AV65" s="219"/>
      <c r="AW65" s="219"/>
      <c r="AX65" s="219"/>
      <c r="AY65" s="219"/>
      <c r="AZ65" s="219"/>
      <c r="BA65" s="219"/>
      <c r="BB65" s="219"/>
      <c r="BC65" s="219"/>
      <c r="BD65" s="219"/>
      <c r="BE65" s="219"/>
      <c r="BF65" s="219"/>
    </row>
    <row r="66" spans="1:58" ht="6.6" customHeight="1" x14ac:dyDescent="0.2">
      <c r="A66" s="284"/>
      <c r="B66" s="76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357"/>
      <c r="U66" s="357"/>
      <c r="V66" s="357"/>
      <c r="W66" s="357"/>
      <c r="X66" s="357"/>
      <c r="Y66" s="357"/>
      <c r="Z66" s="357"/>
      <c r="AA66" s="357"/>
      <c r="AB66" s="357"/>
      <c r="AC66" s="357"/>
      <c r="AD66" s="357"/>
      <c r="AE66" s="357"/>
      <c r="AF66" s="357"/>
      <c r="AG66" s="357"/>
      <c r="AH66" s="357"/>
      <c r="AI66" s="357"/>
      <c r="AJ66" s="357"/>
      <c r="AK66" s="357"/>
      <c r="AL66" s="357"/>
      <c r="AM66" s="357"/>
      <c r="AN66" s="357"/>
      <c r="AO66" s="357"/>
      <c r="AP66" s="357"/>
      <c r="AQ66" s="357"/>
      <c r="AR66" s="357"/>
      <c r="AS66" s="357"/>
      <c r="AT66" s="359"/>
      <c r="AV66" s="219"/>
      <c r="AW66" s="219"/>
      <c r="AX66" s="219"/>
      <c r="AY66" s="219"/>
      <c r="AZ66" s="219"/>
      <c r="BA66" s="219"/>
      <c r="BB66" s="219"/>
      <c r="BC66" s="219"/>
      <c r="BD66" s="219"/>
      <c r="BE66" s="219"/>
      <c r="BF66" s="219"/>
    </row>
    <row r="67" spans="1:58" ht="6.6" customHeight="1" x14ac:dyDescent="0.2">
      <c r="A67" s="283" t="s">
        <v>396</v>
      </c>
      <c r="B67" s="79"/>
      <c r="C67" s="294" t="s">
        <v>407</v>
      </c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356">
        <f>IF(T65&lt;&gt;"",ROUND(100*T57/(100+T65),1),"")</f>
        <v>109.1</v>
      </c>
      <c r="U67" s="356"/>
      <c r="V67" s="356"/>
      <c r="W67" s="356"/>
      <c r="X67" s="356"/>
      <c r="Y67" s="356"/>
      <c r="Z67" s="356"/>
      <c r="AA67" s="356"/>
      <c r="AB67" s="356"/>
      <c r="AC67" s="356">
        <f>IF(AC65&lt;&gt;"",ROUND(100*AC57/(100+AC65),1),"")</f>
        <v>106.5</v>
      </c>
      <c r="AD67" s="356"/>
      <c r="AE67" s="356"/>
      <c r="AF67" s="356"/>
      <c r="AG67" s="356"/>
      <c r="AH67" s="356"/>
      <c r="AI67" s="356"/>
      <c r="AJ67" s="356"/>
      <c r="AK67" s="356"/>
      <c r="AL67" s="356">
        <f>IF(AL65&lt;&gt;"",ROUND(100*AL57/(100+AL65),1),"")</f>
        <v>106</v>
      </c>
      <c r="AM67" s="356"/>
      <c r="AN67" s="356"/>
      <c r="AO67" s="356"/>
      <c r="AP67" s="356"/>
      <c r="AQ67" s="356"/>
      <c r="AR67" s="356"/>
      <c r="AS67" s="356"/>
      <c r="AT67" s="358"/>
      <c r="AV67" s="219"/>
      <c r="AW67" s="219"/>
      <c r="AX67" s="219"/>
      <c r="AY67" s="219"/>
      <c r="AZ67" s="219"/>
      <c r="BA67" s="219"/>
      <c r="BB67" s="219"/>
      <c r="BC67" s="219"/>
      <c r="BD67" s="219"/>
      <c r="BE67" s="219"/>
      <c r="BF67" s="219"/>
    </row>
    <row r="68" spans="1:58" ht="6.6" customHeight="1" x14ac:dyDescent="0.2">
      <c r="A68" s="284"/>
      <c r="B68" s="76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357"/>
      <c r="U68" s="357"/>
      <c r="V68" s="357"/>
      <c r="W68" s="357"/>
      <c r="X68" s="357"/>
      <c r="Y68" s="357"/>
      <c r="Z68" s="357"/>
      <c r="AA68" s="357"/>
      <c r="AB68" s="357"/>
      <c r="AC68" s="357"/>
      <c r="AD68" s="357"/>
      <c r="AE68" s="357"/>
      <c r="AF68" s="357"/>
      <c r="AG68" s="357"/>
      <c r="AH68" s="357"/>
      <c r="AI68" s="357"/>
      <c r="AJ68" s="357"/>
      <c r="AK68" s="357"/>
      <c r="AL68" s="357"/>
      <c r="AM68" s="357"/>
      <c r="AN68" s="357"/>
      <c r="AO68" s="357"/>
      <c r="AP68" s="357"/>
      <c r="AQ68" s="357"/>
      <c r="AR68" s="357"/>
      <c r="AS68" s="357"/>
      <c r="AT68" s="359"/>
      <c r="AV68" s="219"/>
      <c r="AW68" s="219"/>
      <c r="AX68" s="219"/>
      <c r="AY68" s="219"/>
      <c r="AZ68" s="219"/>
      <c r="BA68" s="219"/>
      <c r="BB68" s="219"/>
      <c r="BC68" s="219"/>
      <c r="BD68" s="219"/>
      <c r="BE68" s="219"/>
      <c r="BF68" s="219"/>
    </row>
    <row r="69" spans="1:58" ht="6.6" customHeight="1" x14ac:dyDescent="0.2">
      <c r="A69" s="197"/>
      <c r="B69" s="198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330"/>
      <c r="AS69" s="330"/>
      <c r="AT69" s="199"/>
      <c r="AV69" s="219"/>
      <c r="AW69" s="219"/>
      <c r="AX69" s="219"/>
      <c r="AY69" s="219"/>
      <c r="AZ69" s="219"/>
      <c r="BA69" s="219"/>
      <c r="BB69" s="219"/>
      <c r="BC69" s="219"/>
      <c r="BD69" s="219"/>
      <c r="BE69" s="219"/>
      <c r="BF69" s="219"/>
    </row>
    <row r="70" spans="1:58" ht="6.6" customHeight="1" x14ac:dyDescent="0.2">
      <c r="A70" s="296" t="s">
        <v>409</v>
      </c>
      <c r="B70" s="297"/>
      <c r="C70" s="297"/>
      <c r="D70" s="297"/>
      <c r="E70" s="297"/>
      <c r="F70" s="297"/>
      <c r="G70" s="297"/>
      <c r="H70" s="297"/>
      <c r="I70" s="297"/>
      <c r="J70" s="298"/>
      <c r="K70" s="298"/>
      <c r="L70" s="298"/>
      <c r="M70" s="298"/>
      <c r="N70" s="298"/>
      <c r="O70" s="200"/>
      <c r="P70" s="297" t="s">
        <v>410</v>
      </c>
      <c r="Q70" s="297"/>
      <c r="R70" s="297"/>
      <c r="S70" s="297"/>
      <c r="T70" s="297"/>
      <c r="U70" s="297"/>
      <c r="V70" s="297"/>
      <c r="W70" s="297"/>
      <c r="X70" s="297"/>
      <c r="Y70" s="298"/>
      <c r="Z70" s="298"/>
      <c r="AA70" s="298"/>
      <c r="AB70" s="298"/>
      <c r="AC70" s="298"/>
      <c r="AD70" s="200"/>
      <c r="AE70" s="200"/>
      <c r="AF70" s="297" t="s">
        <v>411</v>
      </c>
      <c r="AG70" s="297"/>
      <c r="AH70" s="297"/>
      <c r="AI70" s="297"/>
      <c r="AJ70" s="297"/>
      <c r="AK70" s="297"/>
      <c r="AL70" s="297"/>
      <c r="AM70" s="297"/>
      <c r="AN70" s="297"/>
      <c r="AO70" s="297"/>
      <c r="AP70" s="297"/>
      <c r="AQ70" s="297"/>
      <c r="AR70" s="298"/>
      <c r="AS70" s="298"/>
      <c r="AT70" s="201"/>
      <c r="AV70" s="219"/>
      <c r="AW70" s="219"/>
      <c r="AX70" s="219"/>
      <c r="AY70" s="219"/>
      <c r="AZ70" s="219"/>
      <c r="BA70" s="219"/>
      <c r="BB70" s="219"/>
      <c r="BC70" s="219"/>
      <c r="BD70" s="219"/>
      <c r="BE70" s="219"/>
      <c r="BF70" s="219"/>
    </row>
    <row r="71" spans="1:58" ht="6.6" customHeight="1" x14ac:dyDescent="0.2">
      <c r="A71" s="296"/>
      <c r="B71" s="297"/>
      <c r="C71" s="297"/>
      <c r="D71" s="297"/>
      <c r="E71" s="297"/>
      <c r="F71" s="297"/>
      <c r="G71" s="297"/>
      <c r="H71" s="297"/>
      <c r="I71" s="297"/>
      <c r="J71" s="299"/>
      <c r="K71" s="299"/>
      <c r="L71" s="299"/>
      <c r="M71" s="299"/>
      <c r="N71" s="299"/>
      <c r="O71" s="200"/>
      <c r="P71" s="297"/>
      <c r="Q71" s="297"/>
      <c r="R71" s="297"/>
      <c r="S71" s="297"/>
      <c r="T71" s="297"/>
      <c r="U71" s="297"/>
      <c r="V71" s="297"/>
      <c r="W71" s="297"/>
      <c r="X71" s="297"/>
      <c r="Y71" s="299"/>
      <c r="Z71" s="299"/>
      <c r="AA71" s="299"/>
      <c r="AB71" s="299"/>
      <c r="AC71" s="299"/>
      <c r="AD71" s="200"/>
      <c r="AE71" s="200"/>
      <c r="AF71" s="297"/>
      <c r="AG71" s="297"/>
      <c r="AH71" s="297"/>
      <c r="AI71" s="297"/>
      <c r="AJ71" s="297"/>
      <c r="AK71" s="297"/>
      <c r="AL71" s="297"/>
      <c r="AM71" s="297"/>
      <c r="AN71" s="297"/>
      <c r="AO71" s="297"/>
      <c r="AP71" s="297"/>
      <c r="AQ71" s="297"/>
      <c r="AR71" s="202"/>
      <c r="AS71" s="202"/>
      <c r="AT71" s="201"/>
      <c r="AV71" s="219"/>
      <c r="AW71" s="219"/>
      <c r="AX71" s="219"/>
      <c r="AY71" s="219"/>
      <c r="AZ71" s="219"/>
      <c r="BA71" s="219"/>
      <c r="BB71" s="219"/>
      <c r="BC71" s="219"/>
      <c r="BD71" s="219"/>
      <c r="BE71" s="219"/>
      <c r="BF71" s="219"/>
    </row>
    <row r="72" spans="1:58" ht="6.6" customHeight="1" thickBot="1" x14ac:dyDescent="0.25">
      <c r="A72" s="203"/>
      <c r="B72" s="204"/>
      <c r="C72" s="204"/>
      <c r="D72" s="204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4"/>
      <c r="X72" s="204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5"/>
      <c r="AV72" s="219"/>
      <c r="AW72" s="219"/>
      <c r="AX72" s="219"/>
      <c r="AY72" s="219"/>
      <c r="AZ72" s="219"/>
      <c r="BA72" s="219"/>
      <c r="BB72" s="219"/>
      <c r="BC72" s="219"/>
      <c r="BD72" s="219"/>
      <c r="BE72" s="219"/>
      <c r="BF72" s="219"/>
    </row>
    <row r="73" spans="1:58" ht="6.6" customHeight="1" thickTop="1" x14ac:dyDescent="0.2">
      <c r="A73" s="331" t="s">
        <v>413</v>
      </c>
      <c r="B73" s="332"/>
      <c r="C73" s="332"/>
      <c r="D73" s="332"/>
      <c r="E73" s="332"/>
      <c r="F73" s="332"/>
      <c r="G73" s="332"/>
      <c r="H73" s="332"/>
      <c r="I73" s="332"/>
      <c r="J73" s="332"/>
      <c r="K73" s="332"/>
      <c r="L73" s="332"/>
      <c r="M73" s="332"/>
      <c r="N73" s="332"/>
      <c r="O73" s="332"/>
      <c r="P73" s="332"/>
      <c r="Q73" s="332"/>
      <c r="R73" s="332"/>
      <c r="S73" s="332"/>
      <c r="T73" s="332"/>
      <c r="U73" s="332"/>
      <c r="V73" s="333"/>
      <c r="W73" s="340" t="s">
        <v>442</v>
      </c>
      <c r="X73" s="341"/>
      <c r="Y73" s="341"/>
      <c r="Z73" s="341"/>
      <c r="AA73" s="341"/>
      <c r="AB73" s="341"/>
      <c r="AC73" s="341"/>
      <c r="AD73" s="341"/>
      <c r="AE73" s="341"/>
      <c r="AF73" s="341"/>
      <c r="AG73" s="341"/>
      <c r="AH73" s="341"/>
      <c r="AI73" s="341"/>
      <c r="AJ73" s="341"/>
      <c r="AK73" s="341"/>
      <c r="AL73" s="341"/>
      <c r="AM73" s="341"/>
      <c r="AN73" s="341"/>
      <c r="AO73" s="341"/>
      <c r="AP73" s="341"/>
      <c r="AQ73" s="341"/>
      <c r="AR73" s="341"/>
      <c r="AS73" s="341"/>
      <c r="AT73" s="341"/>
      <c r="AV73" s="219"/>
      <c r="AW73" s="219"/>
      <c r="AX73" s="219"/>
      <c r="AY73" s="219"/>
      <c r="AZ73" s="219"/>
      <c r="BA73" s="219"/>
      <c r="BB73" s="219"/>
      <c r="BC73" s="219"/>
      <c r="BD73" s="219"/>
      <c r="BE73" s="219"/>
      <c r="BF73" s="219"/>
    </row>
    <row r="74" spans="1:58" ht="6.6" customHeight="1" x14ac:dyDescent="0.2">
      <c r="A74" s="334"/>
      <c r="B74" s="335"/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35"/>
      <c r="R74" s="335"/>
      <c r="S74" s="335"/>
      <c r="T74" s="335"/>
      <c r="U74" s="335"/>
      <c r="V74" s="336"/>
      <c r="W74" s="342"/>
      <c r="X74" s="343"/>
      <c r="Y74" s="343"/>
      <c r="Z74" s="343"/>
      <c r="AA74" s="343"/>
      <c r="AB74" s="343"/>
      <c r="AC74" s="343"/>
      <c r="AD74" s="343"/>
      <c r="AE74" s="343"/>
      <c r="AF74" s="343"/>
      <c r="AG74" s="343"/>
      <c r="AH74" s="343"/>
      <c r="AI74" s="343"/>
      <c r="AJ74" s="343"/>
      <c r="AK74" s="343"/>
      <c r="AL74" s="343"/>
      <c r="AM74" s="343"/>
      <c r="AN74" s="343"/>
      <c r="AO74" s="343"/>
      <c r="AP74" s="343"/>
      <c r="AQ74" s="343"/>
      <c r="AR74" s="343"/>
      <c r="AS74" s="343"/>
      <c r="AT74" s="343"/>
      <c r="AV74" s="219"/>
      <c r="AW74" s="219"/>
      <c r="AX74" s="219"/>
      <c r="AY74" s="219"/>
      <c r="AZ74" s="219"/>
      <c r="BA74" s="219"/>
      <c r="BB74" s="219"/>
      <c r="BC74" s="219"/>
      <c r="BD74" s="219"/>
      <c r="BE74" s="219"/>
      <c r="BF74" s="219"/>
    </row>
    <row r="75" spans="1:58" ht="11.25" customHeight="1" x14ac:dyDescent="0.2">
      <c r="A75" s="334"/>
      <c r="B75" s="335"/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  <c r="P75" s="335"/>
      <c r="Q75" s="335"/>
      <c r="R75" s="335"/>
      <c r="S75" s="335"/>
      <c r="T75" s="335"/>
      <c r="U75" s="335"/>
      <c r="V75" s="336"/>
      <c r="X75" s="344" t="s">
        <v>443</v>
      </c>
      <c r="Y75" s="344"/>
      <c r="Z75" s="344"/>
      <c r="AA75" s="344"/>
      <c r="AB75" s="344"/>
      <c r="AC75" s="344"/>
      <c r="AD75" s="344"/>
      <c r="AE75" s="344"/>
      <c r="AF75" s="344"/>
      <c r="AG75" s="381"/>
      <c r="AH75" s="382"/>
      <c r="AI75" s="382"/>
      <c r="AL75" s="360" t="s">
        <v>445</v>
      </c>
      <c r="AM75" s="361"/>
      <c r="AN75" s="361"/>
      <c r="AO75" s="360" t="s">
        <v>446</v>
      </c>
      <c r="AP75" s="361"/>
      <c r="AQ75" s="361"/>
      <c r="AR75" s="360" t="s">
        <v>447</v>
      </c>
      <c r="AS75" s="361"/>
      <c r="AT75" s="362"/>
      <c r="AV75" s="219"/>
      <c r="AW75" s="219"/>
      <c r="AX75" s="219"/>
      <c r="AY75" s="219"/>
      <c r="AZ75" s="219"/>
      <c r="BA75" s="219"/>
      <c r="BB75" s="219"/>
      <c r="BC75" s="219"/>
      <c r="BD75" s="219"/>
      <c r="BE75" s="219"/>
      <c r="BF75" s="219"/>
    </row>
    <row r="76" spans="1:58" ht="6.6" customHeight="1" x14ac:dyDescent="0.2">
      <c r="A76" s="334"/>
      <c r="B76" s="335"/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5"/>
      <c r="P76" s="335"/>
      <c r="Q76" s="335"/>
      <c r="R76" s="335"/>
      <c r="S76" s="335"/>
      <c r="T76" s="335"/>
      <c r="U76" s="335"/>
      <c r="V76" s="336"/>
      <c r="X76" s="344"/>
      <c r="Y76" s="344"/>
      <c r="Z76" s="344"/>
      <c r="AA76" s="344"/>
      <c r="AB76" s="344"/>
      <c r="AC76" s="344"/>
      <c r="AD76" s="344"/>
      <c r="AE76" s="344"/>
      <c r="AF76" s="344"/>
      <c r="AG76" s="61"/>
      <c r="AH76" s="61"/>
      <c r="AI76" s="61"/>
      <c r="AL76" s="363"/>
      <c r="AM76" s="363"/>
      <c r="AN76" s="363"/>
      <c r="AO76" s="363"/>
      <c r="AP76" s="363"/>
      <c r="AQ76" s="363"/>
      <c r="AR76" s="363"/>
      <c r="AS76" s="363"/>
      <c r="AT76" s="364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</row>
    <row r="77" spans="1:58" ht="11.25" customHeight="1" x14ac:dyDescent="0.2">
      <c r="A77" s="337"/>
      <c r="B77" s="338"/>
      <c r="C77" s="338"/>
      <c r="D77" s="338"/>
      <c r="E77" s="338"/>
      <c r="F77" s="338"/>
      <c r="G77" s="338"/>
      <c r="H77" s="338"/>
      <c r="I77" s="338"/>
      <c r="J77" s="338"/>
      <c r="K77" s="338"/>
      <c r="L77" s="338"/>
      <c r="M77" s="338"/>
      <c r="N77" s="338"/>
      <c r="O77" s="338"/>
      <c r="P77" s="338"/>
      <c r="Q77" s="338"/>
      <c r="R77" s="338"/>
      <c r="S77" s="338"/>
      <c r="T77" s="338"/>
      <c r="U77" s="338"/>
      <c r="V77" s="339"/>
      <c r="X77" s="344" t="s">
        <v>444</v>
      </c>
      <c r="Y77" s="344"/>
      <c r="Z77" s="344"/>
      <c r="AA77" s="344"/>
      <c r="AB77" s="344"/>
      <c r="AC77" s="344"/>
      <c r="AD77" s="344"/>
      <c r="AE77" s="344"/>
      <c r="AF77" s="344"/>
      <c r="AG77" s="276"/>
      <c r="AH77" s="276"/>
      <c r="AI77" s="276"/>
      <c r="AJ77" s="276"/>
      <c r="AL77" s="363"/>
      <c r="AM77" s="363"/>
      <c r="AN77" s="363"/>
      <c r="AO77" s="363"/>
      <c r="AP77" s="363"/>
      <c r="AQ77" s="363"/>
      <c r="AR77" s="363"/>
      <c r="AS77" s="363"/>
      <c r="AT77" s="364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</row>
    <row r="78" spans="1:58" ht="6.6" customHeight="1" x14ac:dyDescent="0.2">
      <c r="A78" s="322" t="s">
        <v>414</v>
      </c>
      <c r="B78" s="323"/>
      <c r="C78" s="323" t="s">
        <v>415</v>
      </c>
      <c r="D78" s="323"/>
      <c r="E78" s="323"/>
      <c r="F78" s="323"/>
      <c r="G78" s="323"/>
      <c r="H78" s="323"/>
      <c r="I78" s="323"/>
      <c r="J78" s="323"/>
      <c r="K78" s="323"/>
      <c r="L78" s="323"/>
      <c r="M78" s="323"/>
      <c r="N78" s="323"/>
      <c r="O78" s="323"/>
      <c r="P78" s="323"/>
      <c r="Q78" s="327"/>
      <c r="R78" s="328"/>
      <c r="S78" s="328"/>
      <c r="T78" s="328"/>
      <c r="U78" s="328"/>
      <c r="V78" s="329"/>
      <c r="X78" s="344"/>
      <c r="Y78" s="344"/>
      <c r="Z78" s="344"/>
      <c r="AA78" s="344"/>
      <c r="AB78" s="344"/>
      <c r="AC78" s="344"/>
      <c r="AD78" s="344"/>
      <c r="AE78" s="344"/>
      <c r="AF78" s="344"/>
      <c r="AG78" s="61"/>
      <c r="AH78" s="61"/>
      <c r="AI78" s="61"/>
      <c r="AJ78" s="61"/>
      <c r="AL78" s="363"/>
      <c r="AM78" s="363"/>
      <c r="AN78" s="363"/>
      <c r="AO78" s="363"/>
      <c r="AP78" s="363"/>
      <c r="AQ78" s="363"/>
      <c r="AR78" s="363"/>
      <c r="AS78" s="363"/>
      <c r="AT78" s="364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</row>
    <row r="79" spans="1:58" ht="6.6" customHeight="1" x14ac:dyDescent="0.2">
      <c r="A79" s="322"/>
      <c r="B79" s="323"/>
      <c r="C79" s="323"/>
      <c r="D79" s="323"/>
      <c r="E79" s="323"/>
      <c r="F79" s="323"/>
      <c r="G79" s="323"/>
      <c r="H79" s="323"/>
      <c r="I79" s="323"/>
      <c r="J79" s="323"/>
      <c r="K79" s="323"/>
      <c r="L79" s="323"/>
      <c r="M79" s="323"/>
      <c r="N79" s="323"/>
      <c r="O79" s="323"/>
      <c r="P79" s="323"/>
      <c r="Q79" s="327"/>
      <c r="R79" s="328"/>
      <c r="S79" s="328"/>
      <c r="T79" s="328"/>
      <c r="U79" s="328"/>
      <c r="V79" s="329"/>
      <c r="W79" s="190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311"/>
      <c r="AM79" s="311"/>
      <c r="AN79" s="311"/>
      <c r="AO79" s="311"/>
      <c r="AP79" s="311"/>
      <c r="AQ79" s="311"/>
      <c r="AR79" s="311"/>
      <c r="AS79" s="311"/>
      <c r="AT79" s="313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</row>
    <row r="80" spans="1:58" ht="6.6" customHeight="1" x14ac:dyDescent="0.2">
      <c r="A80" s="322" t="s">
        <v>416</v>
      </c>
      <c r="B80" s="323"/>
      <c r="C80" s="323" t="s">
        <v>430</v>
      </c>
      <c r="D80" s="323"/>
      <c r="E80" s="323"/>
      <c r="F80" s="323"/>
      <c r="G80" s="323"/>
      <c r="H80" s="323"/>
      <c r="I80" s="323"/>
      <c r="J80" s="323"/>
      <c r="K80" s="323"/>
      <c r="L80" s="323"/>
      <c r="M80" s="323"/>
      <c r="N80" s="323"/>
      <c r="O80" s="323"/>
      <c r="P80" s="323"/>
      <c r="Q80" s="327"/>
      <c r="R80" s="328"/>
      <c r="S80" s="328"/>
      <c r="T80" s="328"/>
      <c r="U80" s="328"/>
      <c r="V80" s="329"/>
      <c r="W80" s="322" t="s">
        <v>448</v>
      </c>
      <c r="X80" s="323"/>
      <c r="Y80" s="294" t="s">
        <v>449</v>
      </c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373"/>
      <c r="AM80" s="373"/>
      <c r="AN80" s="373"/>
      <c r="AO80" s="373"/>
      <c r="AP80" s="373"/>
      <c r="AQ80" s="373"/>
      <c r="AR80" s="373"/>
      <c r="AS80" s="373"/>
      <c r="AT80" s="375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</row>
    <row r="81" spans="1:58" ht="6.6" customHeight="1" x14ac:dyDescent="0.2">
      <c r="A81" s="322"/>
      <c r="B81" s="323"/>
      <c r="C81" s="323"/>
      <c r="D81" s="323"/>
      <c r="E81" s="323"/>
      <c r="F81" s="323"/>
      <c r="G81" s="323"/>
      <c r="H81" s="323"/>
      <c r="I81" s="323"/>
      <c r="J81" s="323"/>
      <c r="K81" s="323"/>
      <c r="L81" s="323"/>
      <c r="M81" s="323"/>
      <c r="N81" s="323"/>
      <c r="O81" s="323"/>
      <c r="P81" s="323"/>
      <c r="Q81" s="327"/>
      <c r="R81" s="328"/>
      <c r="S81" s="328"/>
      <c r="T81" s="328"/>
      <c r="U81" s="328"/>
      <c r="V81" s="329"/>
      <c r="W81" s="322"/>
      <c r="X81" s="323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374"/>
      <c r="AM81" s="374"/>
      <c r="AN81" s="374"/>
      <c r="AO81" s="374"/>
      <c r="AP81" s="374"/>
      <c r="AQ81" s="374"/>
      <c r="AR81" s="374"/>
      <c r="AS81" s="374"/>
      <c r="AT81" s="376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</row>
    <row r="82" spans="1:58" ht="6.6" customHeight="1" x14ac:dyDescent="0.2">
      <c r="A82" s="322" t="s">
        <v>417</v>
      </c>
      <c r="B82" s="323"/>
      <c r="C82" s="323" t="s">
        <v>434</v>
      </c>
      <c r="D82" s="323"/>
      <c r="E82" s="323"/>
      <c r="F82" s="323"/>
      <c r="G82" s="323"/>
      <c r="H82" s="323"/>
      <c r="I82" s="323"/>
      <c r="J82" s="323"/>
      <c r="K82" s="323"/>
      <c r="L82" s="323"/>
      <c r="M82" s="323"/>
      <c r="N82" s="323"/>
      <c r="O82" s="323"/>
      <c r="P82" s="323"/>
      <c r="Q82" s="324" t="str">
        <f>IF(Q80,ROUND(Q78/Q80,1), "")</f>
        <v/>
      </c>
      <c r="R82" s="325"/>
      <c r="S82" s="325"/>
      <c r="T82" s="325"/>
      <c r="U82" s="325"/>
      <c r="V82" s="326"/>
      <c r="W82" s="322" t="s">
        <v>450</v>
      </c>
      <c r="X82" s="323"/>
      <c r="Y82" s="294" t="s">
        <v>461</v>
      </c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373"/>
      <c r="AM82" s="373"/>
      <c r="AN82" s="373"/>
      <c r="AO82" s="373"/>
      <c r="AP82" s="373"/>
      <c r="AQ82" s="373"/>
      <c r="AR82" s="373"/>
      <c r="AS82" s="373"/>
      <c r="AT82" s="375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</row>
    <row r="83" spans="1:58" ht="6.6" customHeight="1" x14ac:dyDescent="0.2">
      <c r="A83" s="322"/>
      <c r="B83" s="323"/>
      <c r="C83" s="323"/>
      <c r="D83" s="323"/>
      <c r="E83" s="323"/>
      <c r="F83" s="323"/>
      <c r="G83" s="323"/>
      <c r="H83" s="323"/>
      <c r="I83" s="323"/>
      <c r="J83" s="323"/>
      <c r="K83" s="323"/>
      <c r="L83" s="323"/>
      <c r="M83" s="323"/>
      <c r="N83" s="323"/>
      <c r="O83" s="323"/>
      <c r="P83" s="323"/>
      <c r="Q83" s="324"/>
      <c r="R83" s="325"/>
      <c r="S83" s="325"/>
      <c r="T83" s="325"/>
      <c r="U83" s="325"/>
      <c r="V83" s="326"/>
      <c r="W83" s="322"/>
      <c r="X83" s="323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374"/>
      <c r="AM83" s="374"/>
      <c r="AN83" s="374"/>
      <c r="AO83" s="374"/>
      <c r="AP83" s="374"/>
      <c r="AQ83" s="374"/>
      <c r="AR83" s="374"/>
      <c r="AS83" s="374"/>
      <c r="AT83" s="376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</row>
    <row r="84" spans="1:58" ht="6.6" customHeight="1" x14ac:dyDescent="0.2">
      <c r="A84" s="322" t="s">
        <v>418</v>
      </c>
      <c r="B84" s="323"/>
      <c r="C84" s="323" t="s">
        <v>431</v>
      </c>
      <c r="D84" s="323"/>
      <c r="E84" s="323"/>
      <c r="F84" s="323"/>
      <c r="G84" s="323"/>
      <c r="H84" s="323"/>
      <c r="I84" s="323"/>
      <c r="J84" s="323"/>
      <c r="K84" s="323"/>
      <c r="L84" s="323"/>
      <c r="M84" s="323"/>
      <c r="N84" s="323"/>
      <c r="O84" s="323"/>
      <c r="P84" s="323"/>
      <c r="Q84" s="327"/>
      <c r="R84" s="328"/>
      <c r="S84" s="328"/>
      <c r="T84" s="328"/>
      <c r="U84" s="328"/>
      <c r="V84" s="329"/>
      <c r="W84" s="322" t="s">
        <v>451</v>
      </c>
      <c r="X84" s="323"/>
      <c r="Y84" s="294" t="s">
        <v>462</v>
      </c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365" t="str">
        <f>IF(AL80,ROUND(AL82/AL80,3),"")</f>
        <v/>
      </c>
      <c r="AM84" s="365"/>
      <c r="AN84" s="365"/>
      <c r="AO84" s="365" t="str">
        <f>IF(AO80,ROUND(AO82/AO80,3),"")</f>
        <v/>
      </c>
      <c r="AP84" s="365"/>
      <c r="AQ84" s="365"/>
      <c r="AR84" s="365" t="str">
        <f>IF(AR80,ROUND(AR82/AR80,3),"")</f>
        <v/>
      </c>
      <c r="AS84" s="365"/>
      <c r="AT84" s="367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</row>
    <row r="85" spans="1:58" ht="6.6" customHeight="1" x14ac:dyDescent="0.2">
      <c r="A85" s="322"/>
      <c r="B85" s="323"/>
      <c r="C85" s="323"/>
      <c r="D85" s="323"/>
      <c r="E85" s="323"/>
      <c r="F85" s="323"/>
      <c r="G85" s="323"/>
      <c r="H85" s="323"/>
      <c r="I85" s="323"/>
      <c r="J85" s="323"/>
      <c r="K85" s="323"/>
      <c r="L85" s="323"/>
      <c r="M85" s="323"/>
      <c r="N85" s="323"/>
      <c r="O85" s="323"/>
      <c r="P85" s="323"/>
      <c r="Q85" s="327"/>
      <c r="R85" s="328"/>
      <c r="S85" s="328"/>
      <c r="T85" s="328"/>
      <c r="U85" s="328"/>
      <c r="V85" s="329"/>
      <c r="W85" s="322"/>
      <c r="X85" s="323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366"/>
      <c r="AM85" s="366"/>
      <c r="AN85" s="366"/>
      <c r="AO85" s="366"/>
      <c r="AP85" s="366"/>
      <c r="AQ85" s="366"/>
      <c r="AR85" s="366"/>
      <c r="AS85" s="366"/>
      <c r="AT85" s="368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</row>
    <row r="86" spans="1:58" ht="6.6" customHeight="1" x14ac:dyDescent="0.2">
      <c r="A86" s="322" t="s">
        <v>419</v>
      </c>
      <c r="B86" s="323"/>
      <c r="C86" s="323" t="s">
        <v>432</v>
      </c>
      <c r="D86" s="323"/>
      <c r="E86" s="323"/>
      <c r="F86" s="323"/>
      <c r="G86" s="323"/>
      <c r="H86" s="323"/>
      <c r="I86" s="323"/>
      <c r="J86" s="323"/>
      <c r="K86" s="323"/>
      <c r="L86" s="323"/>
      <c r="M86" s="323"/>
      <c r="N86" s="323"/>
      <c r="O86" s="323"/>
      <c r="P86" s="323"/>
      <c r="Q86" s="327"/>
      <c r="R86" s="328"/>
      <c r="S86" s="328"/>
      <c r="T86" s="328"/>
      <c r="U86" s="328"/>
      <c r="V86" s="329"/>
      <c r="W86" s="322" t="s">
        <v>452</v>
      </c>
      <c r="X86" s="323"/>
      <c r="Y86" s="294" t="s">
        <v>463</v>
      </c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369"/>
      <c r="AM86" s="369"/>
      <c r="AN86" s="369"/>
      <c r="AO86" s="369"/>
      <c r="AP86" s="369"/>
      <c r="AQ86" s="369"/>
      <c r="AR86" s="369"/>
      <c r="AS86" s="369"/>
      <c r="AT86" s="371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</row>
    <row r="87" spans="1:58" ht="6.6" customHeight="1" x14ac:dyDescent="0.2">
      <c r="A87" s="322"/>
      <c r="B87" s="323"/>
      <c r="C87" s="323"/>
      <c r="D87" s="323"/>
      <c r="E87" s="323"/>
      <c r="F87" s="323"/>
      <c r="G87" s="323"/>
      <c r="H87" s="323"/>
      <c r="I87" s="323"/>
      <c r="J87" s="323"/>
      <c r="K87" s="323"/>
      <c r="L87" s="323"/>
      <c r="M87" s="323"/>
      <c r="N87" s="323"/>
      <c r="O87" s="323"/>
      <c r="P87" s="323"/>
      <c r="Q87" s="327"/>
      <c r="R87" s="328"/>
      <c r="S87" s="328"/>
      <c r="T87" s="328"/>
      <c r="U87" s="328"/>
      <c r="V87" s="329"/>
      <c r="W87" s="322"/>
      <c r="X87" s="323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370"/>
      <c r="AM87" s="370"/>
      <c r="AN87" s="370"/>
      <c r="AO87" s="370"/>
      <c r="AP87" s="370"/>
      <c r="AQ87" s="370"/>
      <c r="AR87" s="370"/>
      <c r="AS87" s="370"/>
      <c r="AT87" s="372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</row>
    <row r="88" spans="1:58" ht="6.6" customHeight="1" x14ac:dyDescent="0.2">
      <c r="A88" s="322" t="s">
        <v>420</v>
      </c>
      <c r="B88" s="323"/>
      <c r="C88" s="323" t="s">
        <v>433</v>
      </c>
      <c r="D88" s="323"/>
      <c r="E88" s="323"/>
      <c r="F88" s="323"/>
      <c r="G88" s="323"/>
      <c r="H88" s="323"/>
      <c r="I88" s="323"/>
      <c r="J88" s="323"/>
      <c r="K88" s="323"/>
      <c r="L88" s="323"/>
      <c r="M88" s="323"/>
      <c r="N88" s="323"/>
      <c r="O88" s="323"/>
      <c r="P88" s="323"/>
      <c r="Q88" s="324" t="str">
        <f>IF(Q84,Q84-Q86,"")</f>
        <v/>
      </c>
      <c r="R88" s="325"/>
      <c r="S88" s="325"/>
      <c r="T88" s="325"/>
      <c r="U88" s="325"/>
      <c r="V88" s="326"/>
      <c r="W88" s="322" t="s">
        <v>453</v>
      </c>
      <c r="X88" s="323"/>
      <c r="Y88" s="294" t="s">
        <v>464</v>
      </c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373"/>
      <c r="AM88" s="373"/>
      <c r="AN88" s="373"/>
      <c r="AO88" s="373"/>
      <c r="AP88" s="373"/>
      <c r="AQ88" s="373"/>
      <c r="AR88" s="373"/>
      <c r="AS88" s="373"/>
      <c r="AT88" s="375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</row>
    <row r="89" spans="1:58" ht="6.6" customHeight="1" x14ac:dyDescent="0.2">
      <c r="A89" s="322"/>
      <c r="B89" s="323"/>
      <c r="C89" s="323"/>
      <c r="D89" s="323"/>
      <c r="E89" s="323"/>
      <c r="F89" s="323"/>
      <c r="G89" s="323"/>
      <c r="H89" s="323"/>
      <c r="I89" s="323"/>
      <c r="J89" s="323"/>
      <c r="K89" s="323"/>
      <c r="L89" s="323"/>
      <c r="M89" s="323"/>
      <c r="N89" s="323"/>
      <c r="O89" s="323"/>
      <c r="P89" s="323"/>
      <c r="Q89" s="324"/>
      <c r="R89" s="325"/>
      <c r="S89" s="325"/>
      <c r="T89" s="325"/>
      <c r="U89" s="325"/>
      <c r="V89" s="326"/>
      <c r="W89" s="322"/>
      <c r="X89" s="323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374"/>
      <c r="AM89" s="374"/>
      <c r="AN89" s="374"/>
      <c r="AO89" s="374"/>
      <c r="AP89" s="374"/>
      <c r="AQ89" s="374"/>
      <c r="AR89" s="374"/>
      <c r="AS89" s="374"/>
      <c r="AT89" s="376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</row>
    <row r="90" spans="1:58" ht="6.6" customHeight="1" x14ac:dyDescent="0.2">
      <c r="A90" s="322" t="s">
        <v>421</v>
      </c>
      <c r="B90" s="323"/>
      <c r="C90" s="323" t="s">
        <v>431</v>
      </c>
      <c r="D90" s="323"/>
      <c r="E90" s="323"/>
      <c r="F90" s="323"/>
      <c r="G90" s="323"/>
      <c r="H90" s="323"/>
      <c r="I90" s="323"/>
      <c r="J90" s="323"/>
      <c r="K90" s="323"/>
      <c r="L90" s="323"/>
      <c r="M90" s="323"/>
      <c r="N90" s="323"/>
      <c r="O90" s="323"/>
      <c r="P90" s="323"/>
      <c r="Q90" s="327"/>
      <c r="R90" s="328"/>
      <c r="S90" s="328"/>
      <c r="T90" s="328"/>
      <c r="U90" s="328"/>
      <c r="V90" s="329"/>
      <c r="W90" s="322" t="s">
        <v>454</v>
      </c>
      <c r="X90" s="323"/>
      <c r="Y90" s="294" t="s">
        <v>465</v>
      </c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373"/>
      <c r="AM90" s="373"/>
      <c r="AN90" s="373"/>
      <c r="AO90" s="373"/>
      <c r="AP90" s="373"/>
      <c r="AQ90" s="373"/>
      <c r="AR90" s="373"/>
      <c r="AS90" s="373"/>
      <c r="AT90" s="375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</row>
    <row r="91" spans="1:58" ht="6.6" customHeight="1" x14ac:dyDescent="0.2">
      <c r="A91" s="322"/>
      <c r="B91" s="323"/>
      <c r="C91" s="323"/>
      <c r="D91" s="323"/>
      <c r="E91" s="323"/>
      <c r="F91" s="323"/>
      <c r="G91" s="323"/>
      <c r="H91" s="323"/>
      <c r="I91" s="323"/>
      <c r="J91" s="323"/>
      <c r="K91" s="323"/>
      <c r="L91" s="323"/>
      <c r="M91" s="323"/>
      <c r="N91" s="323"/>
      <c r="O91" s="323"/>
      <c r="P91" s="323"/>
      <c r="Q91" s="327"/>
      <c r="R91" s="328"/>
      <c r="S91" s="328"/>
      <c r="T91" s="328"/>
      <c r="U91" s="328"/>
      <c r="V91" s="329"/>
      <c r="W91" s="322"/>
      <c r="X91" s="323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374"/>
      <c r="AM91" s="374"/>
      <c r="AN91" s="374"/>
      <c r="AO91" s="374"/>
      <c r="AP91" s="374"/>
      <c r="AQ91" s="374"/>
      <c r="AR91" s="374"/>
      <c r="AS91" s="374"/>
      <c r="AT91" s="376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</row>
    <row r="92" spans="1:58" ht="6.6" customHeight="1" x14ac:dyDescent="0.2">
      <c r="A92" s="322" t="s">
        <v>422</v>
      </c>
      <c r="B92" s="323"/>
      <c r="C92" s="323" t="s">
        <v>432</v>
      </c>
      <c r="D92" s="323"/>
      <c r="E92" s="323"/>
      <c r="F92" s="323"/>
      <c r="G92" s="323"/>
      <c r="H92" s="323"/>
      <c r="I92" s="323"/>
      <c r="J92" s="323"/>
      <c r="K92" s="323"/>
      <c r="L92" s="323"/>
      <c r="M92" s="323"/>
      <c r="N92" s="323"/>
      <c r="O92" s="323"/>
      <c r="P92" s="323"/>
      <c r="Q92" s="327"/>
      <c r="R92" s="328"/>
      <c r="S92" s="328"/>
      <c r="T92" s="328"/>
      <c r="U92" s="328"/>
      <c r="V92" s="329"/>
      <c r="W92" s="322" t="s">
        <v>455</v>
      </c>
      <c r="X92" s="323"/>
      <c r="Y92" s="294" t="s">
        <v>466</v>
      </c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365" t="str">
        <f>IF(AL88,ROUND(AL90/AL88,3),"")</f>
        <v/>
      </c>
      <c r="AM92" s="365"/>
      <c r="AN92" s="365"/>
      <c r="AO92" s="365" t="str">
        <f>IF(AO88,ROUND(AO90/AO88,3),"")</f>
        <v/>
      </c>
      <c r="AP92" s="365"/>
      <c r="AQ92" s="365"/>
      <c r="AR92" s="365" t="str">
        <f>IF(AR88,ROUND(AR90/AR88,3),"")</f>
        <v/>
      </c>
      <c r="AS92" s="365"/>
      <c r="AT92" s="367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</row>
    <row r="93" spans="1:58" ht="6.6" customHeight="1" x14ac:dyDescent="0.2">
      <c r="A93" s="322"/>
      <c r="B93" s="323"/>
      <c r="C93" s="323"/>
      <c r="D93" s="323"/>
      <c r="E93" s="323"/>
      <c r="F93" s="323"/>
      <c r="G93" s="323"/>
      <c r="H93" s="323"/>
      <c r="I93" s="323"/>
      <c r="J93" s="323"/>
      <c r="K93" s="323"/>
      <c r="L93" s="323"/>
      <c r="M93" s="323"/>
      <c r="N93" s="323"/>
      <c r="O93" s="323"/>
      <c r="P93" s="323"/>
      <c r="Q93" s="327"/>
      <c r="R93" s="328"/>
      <c r="S93" s="328"/>
      <c r="T93" s="328"/>
      <c r="U93" s="328"/>
      <c r="V93" s="329"/>
      <c r="W93" s="322"/>
      <c r="X93" s="323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366"/>
      <c r="AM93" s="366"/>
      <c r="AN93" s="366"/>
      <c r="AO93" s="366"/>
      <c r="AP93" s="366"/>
      <c r="AQ93" s="366"/>
      <c r="AR93" s="366"/>
      <c r="AS93" s="366"/>
      <c r="AT93" s="368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</row>
    <row r="94" spans="1:58" ht="6.6" customHeight="1" x14ac:dyDescent="0.2">
      <c r="A94" s="322" t="s">
        <v>423</v>
      </c>
      <c r="B94" s="323"/>
      <c r="C94" s="323" t="s">
        <v>435</v>
      </c>
      <c r="D94" s="323"/>
      <c r="E94" s="323"/>
      <c r="F94" s="323"/>
      <c r="G94" s="323"/>
      <c r="H94" s="323"/>
      <c r="I94" s="323"/>
      <c r="J94" s="323"/>
      <c r="K94" s="323"/>
      <c r="L94" s="323"/>
      <c r="M94" s="323"/>
      <c r="N94" s="323"/>
      <c r="O94" s="323"/>
      <c r="P94" s="323"/>
      <c r="Q94" s="324" t="str">
        <f>IF(Q90,Q90-Q92,"")</f>
        <v/>
      </c>
      <c r="R94" s="325"/>
      <c r="S94" s="325"/>
      <c r="T94" s="325"/>
      <c r="U94" s="325"/>
      <c r="V94" s="326"/>
      <c r="W94" s="322" t="s">
        <v>456</v>
      </c>
      <c r="X94" s="323"/>
      <c r="Y94" s="294" t="s">
        <v>467</v>
      </c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373"/>
      <c r="AM94" s="373"/>
      <c r="AN94" s="373"/>
      <c r="AO94" s="373"/>
      <c r="AP94" s="373"/>
      <c r="AQ94" s="373"/>
      <c r="AR94" s="373"/>
      <c r="AS94" s="373"/>
      <c r="AT94" s="375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</row>
    <row r="95" spans="1:58" ht="6.6" customHeight="1" x14ac:dyDescent="0.2">
      <c r="A95" s="322"/>
      <c r="B95" s="323"/>
      <c r="C95" s="323"/>
      <c r="D95" s="323"/>
      <c r="E95" s="323"/>
      <c r="F95" s="323"/>
      <c r="G95" s="323"/>
      <c r="H95" s="323"/>
      <c r="I95" s="323"/>
      <c r="J95" s="323"/>
      <c r="K95" s="323"/>
      <c r="L95" s="323"/>
      <c r="M95" s="323"/>
      <c r="N95" s="323"/>
      <c r="O95" s="323"/>
      <c r="P95" s="323"/>
      <c r="Q95" s="324"/>
      <c r="R95" s="325"/>
      <c r="S95" s="325"/>
      <c r="T95" s="325"/>
      <c r="U95" s="325"/>
      <c r="V95" s="326"/>
      <c r="W95" s="322"/>
      <c r="X95" s="323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374"/>
      <c r="AM95" s="374"/>
      <c r="AN95" s="374"/>
      <c r="AO95" s="374"/>
      <c r="AP95" s="374"/>
      <c r="AQ95" s="374"/>
      <c r="AR95" s="374"/>
      <c r="AS95" s="374"/>
      <c r="AT95" s="376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</row>
    <row r="96" spans="1:58" ht="6.6" customHeight="1" x14ac:dyDescent="0.2">
      <c r="A96" s="322" t="s">
        <v>424</v>
      </c>
      <c r="B96" s="323"/>
      <c r="C96" s="323" t="s">
        <v>436</v>
      </c>
      <c r="D96" s="323"/>
      <c r="E96" s="323"/>
      <c r="F96" s="323"/>
      <c r="G96" s="323"/>
      <c r="H96" s="323"/>
      <c r="I96" s="323"/>
      <c r="J96" s="323"/>
      <c r="K96" s="323"/>
      <c r="L96" s="323"/>
      <c r="M96" s="323"/>
      <c r="N96" s="323"/>
      <c r="O96" s="323"/>
      <c r="P96" s="323"/>
      <c r="Q96" s="324" t="str">
        <f>IF(Q94&lt;&gt;"",Q94-Q88,"")</f>
        <v/>
      </c>
      <c r="R96" s="325"/>
      <c r="S96" s="325"/>
      <c r="T96" s="325"/>
      <c r="U96" s="325"/>
      <c r="V96" s="326"/>
      <c r="W96" s="322" t="s">
        <v>457</v>
      </c>
      <c r="X96" s="323"/>
      <c r="Y96" s="294" t="s">
        <v>468</v>
      </c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373"/>
      <c r="AM96" s="373"/>
      <c r="AN96" s="373"/>
      <c r="AO96" s="373"/>
      <c r="AP96" s="373"/>
      <c r="AQ96" s="373"/>
      <c r="AR96" s="373"/>
      <c r="AS96" s="373"/>
      <c r="AT96" s="375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</row>
    <row r="97" spans="1:46" ht="6.6" customHeight="1" x14ac:dyDescent="0.2">
      <c r="A97" s="322"/>
      <c r="B97" s="323"/>
      <c r="C97" s="323"/>
      <c r="D97" s="323"/>
      <c r="E97" s="323"/>
      <c r="F97" s="323"/>
      <c r="G97" s="323"/>
      <c r="H97" s="323"/>
      <c r="I97" s="323"/>
      <c r="J97" s="323"/>
      <c r="K97" s="323"/>
      <c r="L97" s="323"/>
      <c r="M97" s="323"/>
      <c r="N97" s="323"/>
      <c r="O97" s="323"/>
      <c r="P97" s="323"/>
      <c r="Q97" s="324"/>
      <c r="R97" s="325"/>
      <c r="S97" s="325"/>
      <c r="T97" s="325"/>
      <c r="U97" s="325"/>
      <c r="V97" s="326"/>
      <c r="W97" s="322"/>
      <c r="X97" s="323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374"/>
      <c r="AM97" s="374"/>
      <c r="AN97" s="374"/>
      <c r="AO97" s="374"/>
      <c r="AP97" s="374"/>
      <c r="AQ97" s="374"/>
      <c r="AR97" s="374"/>
      <c r="AS97" s="374"/>
      <c r="AT97" s="376"/>
    </row>
    <row r="98" spans="1:46" ht="6.6" customHeight="1" x14ac:dyDescent="0.2">
      <c r="A98" s="322" t="s">
        <v>425</v>
      </c>
      <c r="B98" s="323"/>
      <c r="C98" s="323" t="s">
        <v>437</v>
      </c>
      <c r="D98" s="323"/>
      <c r="E98" s="323"/>
      <c r="F98" s="323"/>
      <c r="G98" s="323"/>
      <c r="H98" s="323"/>
      <c r="I98" s="323"/>
      <c r="J98" s="323"/>
      <c r="K98" s="323"/>
      <c r="L98" s="323"/>
      <c r="M98" s="323"/>
      <c r="N98" s="323"/>
      <c r="O98" s="323"/>
      <c r="P98" s="323"/>
      <c r="Q98" s="324" t="str">
        <f>IF(Q82&lt;&gt;"",ROUND(Q96/Q82,1),"")</f>
        <v/>
      </c>
      <c r="R98" s="325"/>
      <c r="S98" s="325"/>
      <c r="T98" s="325"/>
      <c r="U98" s="325"/>
      <c r="V98" s="326"/>
      <c r="W98" s="322" t="s">
        <v>458</v>
      </c>
      <c r="X98" s="323"/>
      <c r="Y98" s="294" t="s">
        <v>502</v>
      </c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352">
        <f>AL86-AL94</f>
        <v>0</v>
      </c>
      <c r="AM98" s="352"/>
      <c r="AN98" s="352"/>
      <c r="AO98" s="352">
        <f>AO86-AO94</f>
        <v>0</v>
      </c>
      <c r="AP98" s="352"/>
      <c r="AQ98" s="352"/>
      <c r="AR98" s="352">
        <f>AR86-AR94</f>
        <v>0</v>
      </c>
      <c r="AS98" s="352"/>
      <c r="AT98" s="354"/>
    </row>
    <row r="99" spans="1:46" ht="6.6" customHeight="1" x14ac:dyDescent="0.2">
      <c r="A99" s="322"/>
      <c r="B99" s="323"/>
      <c r="C99" s="323"/>
      <c r="D99" s="323"/>
      <c r="E99" s="323"/>
      <c r="F99" s="323"/>
      <c r="G99" s="323"/>
      <c r="H99" s="323"/>
      <c r="I99" s="323"/>
      <c r="J99" s="323"/>
      <c r="K99" s="323"/>
      <c r="L99" s="323"/>
      <c r="M99" s="323"/>
      <c r="N99" s="323"/>
      <c r="O99" s="323"/>
      <c r="P99" s="323"/>
      <c r="Q99" s="324"/>
      <c r="R99" s="325"/>
      <c r="S99" s="325"/>
      <c r="T99" s="325"/>
      <c r="U99" s="325"/>
      <c r="V99" s="326"/>
      <c r="W99" s="322"/>
      <c r="X99" s="323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353"/>
      <c r="AM99" s="353"/>
      <c r="AN99" s="353"/>
      <c r="AO99" s="353"/>
      <c r="AP99" s="353"/>
      <c r="AQ99" s="353"/>
      <c r="AR99" s="353"/>
      <c r="AS99" s="353"/>
      <c r="AT99" s="355"/>
    </row>
    <row r="100" spans="1:46" ht="6.6" customHeight="1" x14ac:dyDescent="0.2">
      <c r="A100" s="322" t="s">
        <v>426</v>
      </c>
      <c r="B100" s="323"/>
      <c r="C100" s="323" t="s">
        <v>438</v>
      </c>
      <c r="D100" s="323"/>
      <c r="E100" s="323"/>
      <c r="F100" s="323"/>
      <c r="G100" s="323"/>
      <c r="H100" s="323"/>
      <c r="I100" s="323"/>
      <c r="J100" s="323"/>
      <c r="K100" s="323"/>
      <c r="L100" s="323"/>
      <c r="M100" s="323"/>
      <c r="N100" s="323"/>
      <c r="O100" s="323"/>
      <c r="P100" s="323"/>
      <c r="Q100" s="327"/>
      <c r="R100" s="328"/>
      <c r="S100" s="328"/>
      <c r="T100" s="328"/>
      <c r="U100" s="328"/>
      <c r="V100" s="329"/>
      <c r="W100" s="322" t="s">
        <v>459</v>
      </c>
      <c r="X100" s="323"/>
      <c r="Y100" s="294" t="s">
        <v>469</v>
      </c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352" t="str">
        <f>IF($AN$105,ROUND(AL98/$AN$105*100,1),"")</f>
        <v/>
      </c>
      <c r="AM100" s="352"/>
      <c r="AN100" s="352"/>
      <c r="AO100" s="352" t="str">
        <f>IF($AN$105,ROUND(AO98/$AN$105*100,1),"")</f>
        <v/>
      </c>
      <c r="AP100" s="352"/>
      <c r="AQ100" s="352"/>
      <c r="AR100" s="352" t="str">
        <f>IF($AN$105,ROUND(AR98/$AN$105*100,1),"")</f>
        <v/>
      </c>
      <c r="AS100" s="352"/>
      <c r="AT100" s="354"/>
    </row>
    <row r="101" spans="1:46" ht="6.6" customHeight="1" x14ac:dyDescent="0.2">
      <c r="A101" s="322"/>
      <c r="B101" s="323"/>
      <c r="C101" s="323"/>
      <c r="D101" s="323"/>
      <c r="E101" s="323"/>
      <c r="F101" s="323"/>
      <c r="G101" s="323"/>
      <c r="H101" s="323"/>
      <c r="I101" s="323"/>
      <c r="J101" s="323"/>
      <c r="K101" s="323"/>
      <c r="L101" s="323"/>
      <c r="M101" s="323"/>
      <c r="N101" s="323"/>
      <c r="O101" s="323"/>
      <c r="P101" s="323"/>
      <c r="Q101" s="327"/>
      <c r="R101" s="328"/>
      <c r="S101" s="328"/>
      <c r="T101" s="328"/>
      <c r="U101" s="328"/>
      <c r="V101" s="329"/>
      <c r="W101" s="322"/>
      <c r="X101" s="323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353"/>
      <c r="AM101" s="353"/>
      <c r="AN101" s="353"/>
      <c r="AO101" s="353"/>
      <c r="AP101" s="353"/>
      <c r="AQ101" s="353"/>
      <c r="AR101" s="353"/>
      <c r="AS101" s="353"/>
      <c r="AT101" s="355"/>
    </row>
    <row r="102" spans="1:46" ht="6.6" customHeight="1" x14ac:dyDescent="0.2">
      <c r="A102" s="377" t="s">
        <v>427</v>
      </c>
      <c r="B102" s="378"/>
      <c r="C102" s="378" t="s">
        <v>439</v>
      </c>
      <c r="D102" s="378"/>
      <c r="E102" s="378"/>
      <c r="F102" s="378"/>
      <c r="G102" s="378"/>
      <c r="H102" s="378"/>
      <c r="I102" s="378"/>
      <c r="J102" s="378"/>
      <c r="K102" s="378"/>
      <c r="L102" s="378"/>
      <c r="M102" s="378"/>
      <c r="N102" s="378"/>
      <c r="O102" s="378"/>
      <c r="P102" s="378"/>
      <c r="Q102" s="192"/>
      <c r="R102" s="291" t="str">
        <f>IF(Q98&lt;&gt;"",ROUND(Q100/Q98,1),"")</f>
        <v/>
      </c>
      <c r="S102" s="291"/>
      <c r="T102" s="291"/>
      <c r="U102" s="291"/>
      <c r="V102" s="193"/>
      <c r="W102" s="377" t="s">
        <v>460</v>
      </c>
      <c r="X102" s="378"/>
      <c r="Y102" s="383" t="s">
        <v>470</v>
      </c>
      <c r="Z102" s="383"/>
      <c r="AA102" s="383"/>
      <c r="AB102" s="383"/>
      <c r="AC102" s="383"/>
      <c r="AD102" s="383"/>
      <c r="AE102" s="383"/>
      <c r="AF102" s="383"/>
      <c r="AG102" s="383"/>
      <c r="AH102" s="383"/>
      <c r="AI102" s="383"/>
      <c r="AJ102" s="383"/>
      <c r="AK102" s="383"/>
      <c r="AL102" s="208"/>
      <c r="AM102" s="79"/>
      <c r="AN102" s="386">
        <f>ROUND(AVERAGE(AL98:AT99),1)</f>
        <v>0</v>
      </c>
      <c r="AO102" s="386"/>
      <c r="AP102" s="386"/>
      <c r="AQ102" s="386"/>
      <c r="AR102" s="386"/>
      <c r="AT102" s="193"/>
    </row>
    <row r="103" spans="1:46" ht="6.6" customHeight="1" x14ac:dyDescent="0.2">
      <c r="A103" s="377"/>
      <c r="B103" s="378"/>
      <c r="C103" s="378"/>
      <c r="D103" s="378"/>
      <c r="E103" s="378"/>
      <c r="F103" s="378"/>
      <c r="G103" s="378"/>
      <c r="H103" s="378"/>
      <c r="I103" s="378"/>
      <c r="J103" s="378"/>
      <c r="K103" s="378"/>
      <c r="L103" s="378"/>
      <c r="M103" s="378"/>
      <c r="N103" s="378"/>
      <c r="O103" s="378"/>
      <c r="P103" s="378"/>
      <c r="Q103" s="206"/>
      <c r="R103" s="291"/>
      <c r="S103" s="291"/>
      <c r="T103" s="291"/>
      <c r="U103" s="291"/>
      <c r="V103" s="127"/>
      <c r="W103" s="377"/>
      <c r="X103" s="378"/>
      <c r="Y103" s="384"/>
      <c r="Z103" s="384"/>
      <c r="AA103" s="384"/>
      <c r="AB103" s="384"/>
      <c r="AC103" s="384"/>
      <c r="AD103" s="384"/>
      <c r="AE103" s="384"/>
      <c r="AF103" s="384"/>
      <c r="AG103" s="384"/>
      <c r="AH103" s="384"/>
      <c r="AI103" s="384"/>
      <c r="AJ103" s="384"/>
      <c r="AK103" s="384"/>
      <c r="AL103" s="209"/>
      <c r="AM103" s="64"/>
      <c r="AN103" s="291"/>
      <c r="AO103" s="291"/>
      <c r="AP103" s="291"/>
      <c r="AQ103" s="291"/>
      <c r="AR103" s="291"/>
      <c r="AS103" s="64"/>
      <c r="AT103" s="127"/>
    </row>
    <row r="104" spans="1:46" ht="6.6" customHeight="1" x14ac:dyDescent="0.2">
      <c r="A104" s="377"/>
      <c r="B104" s="378"/>
      <c r="C104" s="378"/>
      <c r="D104" s="378"/>
      <c r="E104" s="378"/>
      <c r="F104" s="378"/>
      <c r="G104" s="378"/>
      <c r="H104" s="378"/>
      <c r="I104" s="378"/>
      <c r="J104" s="378"/>
      <c r="K104" s="378"/>
      <c r="L104" s="378"/>
      <c r="M104" s="378"/>
      <c r="N104" s="378"/>
      <c r="O104" s="378"/>
      <c r="P104" s="378"/>
      <c r="Q104" s="206"/>
      <c r="R104" s="61"/>
      <c r="S104" s="61"/>
      <c r="T104" s="61"/>
      <c r="U104" s="61"/>
      <c r="V104" s="127"/>
      <c r="W104" s="377"/>
      <c r="X104" s="378"/>
      <c r="Y104" s="385"/>
      <c r="Z104" s="385"/>
      <c r="AA104" s="385"/>
      <c r="AB104" s="385"/>
      <c r="AC104" s="385"/>
      <c r="AD104" s="385"/>
      <c r="AE104" s="385"/>
      <c r="AF104" s="385"/>
      <c r="AG104" s="385"/>
      <c r="AH104" s="385"/>
      <c r="AI104" s="385"/>
      <c r="AJ104" s="385"/>
      <c r="AK104" s="385"/>
      <c r="AL104" s="209"/>
      <c r="AM104" s="64"/>
      <c r="AN104" s="61"/>
      <c r="AO104" s="61"/>
      <c r="AP104" s="61"/>
      <c r="AQ104" s="61"/>
      <c r="AR104" s="61"/>
      <c r="AS104" s="64"/>
      <c r="AT104" s="127"/>
    </row>
    <row r="105" spans="1:46" ht="6.6" customHeight="1" x14ac:dyDescent="0.2">
      <c r="A105" s="377" t="s">
        <v>428</v>
      </c>
      <c r="B105" s="378"/>
      <c r="C105" s="378" t="s">
        <v>440</v>
      </c>
      <c r="D105" s="378"/>
      <c r="E105" s="378"/>
      <c r="F105" s="378"/>
      <c r="G105" s="378"/>
      <c r="H105" s="378"/>
      <c r="I105" s="378"/>
      <c r="J105" s="378"/>
      <c r="K105" s="378"/>
      <c r="L105" s="378"/>
      <c r="M105" s="378"/>
      <c r="N105" s="378"/>
      <c r="O105" s="378"/>
      <c r="P105" s="378"/>
      <c r="Q105" s="206"/>
      <c r="R105" s="276"/>
      <c r="S105" s="276"/>
      <c r="T105" s="276"/>
      <c r="U105" s="276"/>
      <c r="V105" s="127"/>
      <c r="W105" s="377" t="s">
        <v>428</v>
      </c>
      <c r="X105" s="378"/>
      <c r="Y105" s="383" t="s">
        <v>471</v>
      </c>
      <c r="Z105" s="383"/>
      <c r="AA105" s="383"/>
      <c r="AB105" s="383"/>
      <c r="AC105" s="383"/>
      <c r="AD105" s="383"/>
      <c r="AE105" s="383"/>
      <c r="AF105" s="383"/>
      <c r="AG105" s="383"/>
      <c r="AH105" s="383"/>
      <c r="AI105" s="383"/>
      <c r="AJ105" s="383"/>
      <c r="AK105" s="383"/>
      <c r="AL105" s="209"/>
      <c r="AM105" s="64"/>
      <c r="AN105" s="281"/>
      <c r="AO105" s="281"/>
      <c r="AP105" s="281"/>
      <c r="AQ105" s="281"/>
      <c r="AR105" s="281"/>
      <c r="AS105" s="63"/>
      <c r="AT105" s="127"/>
    </row>
    <row r="106" spans="1:46" ht="6.6" customHeight="1" x14ac:dyDescent="0.2">
      <c r="A106" s="377"/>
      <c r="B106" s="378"/>
      <c r="C106" s="378"/>
      <c r="D106" s="378"/>
      <c r="E106" s="378"/>
      <c r="F106" s="378"/>
      <c r="G106" s="378"/>
      <c r="H106" s="378"/>
      <c r="I106" s="378"/>
      <c r="J106" s="378"/>
      <c r="K106" s="378"/>
      <c r="L106" s="378"/>
      <c r="M106" s="378"/>
      <c r="N106" s="378"/>
      <c r="O106" s="378"/>
      <c r="P106" s="378"/>
      <c r="Q106" s="206"/>
      <c r="R106" s="276"/>
      <c r="S106" s="276"/>
      <c r="T106" s="276"/>
      <c r="U106" s="276"/>
      <c r="V106" s="127"/>
      <c r="W106" s="377"/>
      <c r="X106" s="378"/>
      <c r="Y106" s="384"/>
      <c r="Z106" s="384"/>
      <c r="AA106" s="384"/>
      <c r="AB106" s="384"/>
      <c r="AC106" s="384"/>
      <c r="AD106" s="384"/>
      <c r="AE106" s="384"/>
      <c r="AF106" s="384"/>
      <c r="AG106" s="384"/>
      <c r="AH106" s="384"/>
      <c r="AI106" s="384"/>
      <c r="AJ106" s="384"/>
      <c r="AK106" s="384"/>
      <c r="AL106" s="209"/>
      <c r="AM106" s="64"/>
      <c r="AN106" s="276"/>
      <c r="AO106" s="276"/>
      <c r="AP106" s="276"/>
      <c r="AQ106" s="276"/>
      <c r="AR106" s="276"/>
      <c r="AS106" s="63"/>
      <c r="AT106" s="127"/>
    </row>
    <row r="107" spans="1:46" ht="6.6" customHeight="1" x14ac:dyDescent="0.2">
      <c r="A107" s="377"/>
      <c r="B107" s="378"/>
      <c r="C107" s="378"/>
      <c r="D107" s="378"/>
      <c r="E107" s="378"/>
      <c r="F107" s="378"/>
      <c r="G107" s="378"/>
      <c r="H107" s="378"/>
      <c r="I107" s="378"/>
      <c r="J107" s="378"/>
      <c r="K107" s="378"/>
      <c r="L107" s="378"/>
      <c r="M107" s="378"/>
      <c r="N107" s="378"/>
      <c r="O107" s="378"/>
      <c r="P107" s="378"/>
      <c r="Q107" s="206"/>
      <c r="R107" s="61"/>
      <c r="S107" s="61"/>
      <c r="T107" s="61"/>
      <c r="U107" s="61"/>
      <c r="V107" s="127"/>
      <c r="W107" s="377"/>
      <c r="X107" s="378"/>
      <c r="Y107" s="385"/>
      <c r="Z107" s="385"/>
      <c r="AA107" s="385"/>
      <c r="AB107" s="385"/>
      <c r="AC107" s="385"/>
      <c r="AD107" s="385"/>
      <c r="AE107" s="385"/>
      <c r="AF107" s="385"/>
      <c r="AG107" s="385"/>
      <c r="AH107" s="385"/>
      <c r="AI107" s="385"/>
      <c r="AJ107" s="385"/>
      <c r="AK107" s="385"/>
      <c r="AL107" s="209"/>
      <c r="AM107" s="64"/>
      <c r="AN107" s="61"/>
      <c r="AO107" s="61"/>
      <c r="AP107" s="61"/>
      <c r="AQ107" s="61"/>
      <c r="AR107" s="61"/>
      <c r="AS107" s="67"/>
      <c r="AT107" s="127"/>
    </row>
    <row r="108" spans="1:46" ht="3.75" customHeight="1" x14ac:dyDescent="0.2">
      <c r="A108" s="377" t="s">
        <v>429</v>
      </c>
      <c r="B108" s="378"/>
      <c r="C108" s="378" t="s">
        <v>441</v>
      </c>
      <c r="D108" s="378"/>
      <c r="E108" s="378"/>
      <c r="F108" s="378"/>
      <c r="G108" s="378"/>
      <c r="H108" s="378"/>
      <c r="I108" s="378"/>
      <c r="J108" s="378"/>
      <c r="K108" s="378"/>
      <c r="L108" s="378"/>
      <c r="M108" s="378"/>
      <c r="N108" s="378"/>
      <c r="O108" s="378"/>
      <c r="P108" s="378"/>
      <c r="Q108" s="206"/>
      <c r="R108" s="291" t="str">
        <f>IF(R105,ROUND(R102/R105*100,1),"")</f>
        <v/>
      </c>
      <c r="S108" s="291"/>
      <c r="T108" s="291"/>
      <c r="U108" s="291"/>
      <c r="V108" s="127"/>
      <c r="W108" s="377" t="s">
        <v>429</v>
      </c>
      <c r="X108" s="378"/>
      <c r="Y108" s="383" t="s">
        <v>472</v>
      </c>
      <c r="Z108" s="383"/>
      <c r="AA108" s="383"/>
      <c r="AB108" s="383"/>
      <c r="AC108" s="383"/>
      <c r="AD108" s="383"/>
      <c r="AE108" s="383"/>
      <c r="AF108" s="383"/>
      <c r="AG108" s="383"/>
      <c r="AH108" s="383"/>
      <c r="AI108" s="383"/>
      <c r="AJ108" s="383"/>
      <c r="AK108" s="383"/>
      <c r="AL108" s="209"/>
      <c r="AM108" s="64"/>
      <c r="AN108" s="386" t="str">
        <f>IFERROR(ROUND(AVERAGE(AL100:AT101),1),"")</f>
        <v/>
      </c>
      <c r="AO108" s="386"/>
      <c r="AP108" s="386"/>
      <c r="AQ108" s="386"/>
      <c r="AR108" s="386"/>
      <c r="AS108" s="63"/>
      <c r="AT108" s="127"/>
    </row>
    <row r="109" spans="1:46" ht="6.6" customHeight="1" x14ac:dyDescent="0.2">
      <c r="A109" s="377"/>
      <c r="B109" s="378"/>
      <c r="C109" s="378"/>
      <c r="D109" s="378"/>
      <c r="E109" s="378"/>
      <c r="F109" s="378"/>
      <c r="G109" s="378"/>
      <c r="H109" s="378"/>
      <c r="I109" s="378"/>
      <c r="J109" s="378"/>
      <c r="K109" s="378"/>
      <c r="L109" s="378"/>
      <c r="M109" s="378"/>
      <c r="N109" s="378"/>
      <c r="O109" s="378"/>
      <c r="P109" s="378"/>
      <c r="Q109" s="206"/>
      <c r="R109" s="291"/>
      <c r="S109" s="291"/>
      <c r="T109" s="291"/>
      <c r="U109" s="291"/>
      <c r="V109" s="127"/>
      <c r="W109" s="377"/>
      <c r="X109" s="378"/>
      <c r="Y109" s="384"/>
      <c r="Z109" s="384"/>
      <c r="AA109" s="384"/>
      <c r="AB109" s="384"/>
      <c r="AC109" s="384"/>
      <c r="AD109" s="384"/>
      <c r="AE109" s="384"/>
      <c r="AF109" s="384"/>
      <c r="AG109" s="384"/>
      <c r="AH109" s="384"/>
      <c r="AI109" s="384"/>
      <c r="AJ109" s="384"/>
      <c r="AK109" s="384"/>
      <c r="AL109" s="209"/>
      <c r="AM109" s="64"/>
      <c r="AN109" s="291"/>
      <c r="AO109" s="291"/>
      <c r="AP109" s="291"/>
      <c r="AQ109" s="291"/>
      <c r="AR109" s="291"/>
      <c r="AS109" s="63"/>
      <c r="AT109" s="127"/>
    </row>
    <row r="110" spans="1:46" ht="6.6" customHeight="1" x14ac:dyDescent="0.2">
      <c r="A110" s="377"/>
      <c r="B110" s="378"/>
      <c r="C110" s="378"/>
      <c r="D110" s="378"/>
      <c r="E110" s="378"/>
      <c r="F110" s="378"/>
      <c r="G110" s="378"/>
      <c r="H110" s="378"/>
      <c r="I110" s="378"/>
      <c r="J110" s="378"/>
      <c r="K110" s="378"/>
      <c r="L110" s="378"/>
      <c r="M110" s="378"/>
      <c r="N110" s="378"/>
      <c r="O110" s="378"/>
      <c r="P110" s="378"/>
      <c r="Q110" s="206"/>
      <c r="R110" s="61"/>
      <c r="S110" s="61"/>
      <c r="T110" s="61"/>
      <c r="U110" s="61"/>
      <c r="V110" s="127"/>
      <c r="W110" s="377"/>
      <c r="X110" s="378"/>
      <c r="Y110" s="384"/>
      <c r="Z110" s="384"/>
      <c r="AA110" s="384"/>
      <c r="AB110" s="384"/>
      <c r="AC110" s="384"/>
      <c r="AD110" s="384"/>
      <c r="AE110" s="384"/>
      <c r="AF110" s="384"/>
      <c r="AG110" s="384"/>
      <c r="AH110" s="384"/>
      <c r="AI110" s="384"/>
      <c r="AJ110" s="384"/>
      <c r="AK110" s="384"/>
      <c r="AL110" s="209"/>
      <c r="AM110" s="64"/>
      <c r="AN110" s="61"/>
      <c r="AO110" s="61"/>
      <c r="AP110" s="61"/>
      <c r="AQ110" s="61"/>
      <c r="AR110" s="61"/>
      <c r="AS110" s="67"/>
      <c r="AT110" s="127"/>
    </row>
    <row r="111" spans="1:46" ht="6.6" customHeight="1" thickBot="1" x14ac:dyDescent="0.25">
      <c r="A111" s="379"/>
      <c r="B111" s="380"/>
      <c r="C111" s="380"/>
      <c r="D111" s="380"/>
      <c r="E111" s="380"/>
      <c r="F111" s="380"/>
      <c r="G111" s="380"/>
      <c r="H111" s="380"/>
      <c r="I111" s="380"/>
      <c r="J111" s="380"/>
      <c r="K111" s="380"/>
      <c r="L111" s="380"/>
      <c r="M111" s="380"/>
      <c r="N111" s="380"/>
      <c r="O111" s="380"/>
      <c r="P111" s="380"/>
      <c r="Q111" s="207"/>
      <c r="R111" s="134"/>
      <c r="S111" s="134"/>
      <c r="T111" s="134"/>
      <c r="U111" s="134"/>
      <c r="V111" s="135"/>
      <c r="W111" s="379"/>
      <c r="X111" s="380"/>
      <c r="Y111" s="387"/>
      <c r="Z111" s="387"/>
      <c r="AA111" s="387"/>
      <c r="AB111" s="387"/>
      <c r="AC111" s="387"/>
      <c r="AD111" s="387"/>
      <c r="AE111" s="387"/>
      <c r="AF111" s="387"/>
      <c r="AG111" s="387"/>
      <c r="AH111" s="387"/>
      <c r="AI111" s="387"/>
      <c r="AJ111" s="387"/>
      <c r="AK111" s="387"/>
      <c r="AL111" s="210"/>
      <c r="AM111" s="131"/>
      <c r="AN111" s="131"/>
      <c r="AO111" s="134"/>
      <c r="AP111" s="134"/>
      <c r="AQ111" s="134"/>
      <c r="AR111" s="134"/>
      <c r="AS111" s="134"/>
      <c r="AT111" s="135"/>
    </row>
    <row r="112" spans="1:46" ht="6.6" customHeight="1" thickTop="1" x14ac:dyDescent="0.2">
      <c r="D112" s="391"/>
      <c r="E112" s="391"/>
      <c r="F112" s="391"/>
      <c r="G112" s="391"/>
      <c r="H112" s="391"/>
      <c r="I112" s="391"/>
      <c r="J112" s="391"/>
      <c r="K112" s="391"/>
      <c r="L112" s="391"/>
      <c r="M112" s="391"/>
      <c r="N112" s="391"/>
      <c r="O112" s="391"/>
      <c r="P112" s="391"/>
      <c r="Q112" s="391"/>
      <c r="R112" s="391"/>
      <c r="S112" s="391"/>
      <c r="T112" s="391"/>
      <c r="U112" s="391"/>
      <c r="V112" s="391"/>
      <c r="W112" s="391"/>
      <c r="X112" s="391"/>
      <c r="Y112" s="391"/>
      <c r="Z112" s="391"/>
      <c r="AA112" s="391"/>
      <c r="AB112" s="391"/>
      <c r="AC112" s="391"/>
      <c r="AD112" s="391"/>
      <c r="AE112" s="391"/>
      <c r="AF112" s="391"/>
      <c r="AG112" s="391"/>
      <c r="AH112" s="391"/>
      <c r="AI112" s="391"/>
      <c r="AJ112" s="391"/>
      <c r="AK112" s="391"/>
      <c r="AL112" s="391"/>
      <c r="AM112" s="391"/>
      <c r="AN112" s="391"/>
      <c r="AO112" s="391"/>
      <c r="AP112" s="391"/>
      <c r="AQ112" s="391"/>
      <c r="AR112" s="391"/>
      <c r="AS112" s="391"/>
      <c r="AT112" s="391"/>
    </row>
    <row r="113" spans="1:46" ht="6.6" customHeight="1" x14ac:dyDescent="0.2">
      <c r="A113" s="390" t="s">
        <v>473</v>
      </c>
      <c r="B113" s="390"/>
      <c r="C113" s="390"/>
      <c r="D113" s="392"/>
      <c r="E113" s="392"/>
      <c r="F113" s="392"/>
      <c r="G113" s="392"/>
      <c r="H113" s="392"/>
      <c r="I113" s="392"/>
      <c r="J113" s="392"/>
      <c r="K113" s="392"/>
      <c r="L113" s="392"/>
      <c r="M113" s="392"/>
      <c r="N113" s="392"/>
      <c r="O113" s="392"/>
      <c r="P113" s="392"/>
      <c r="Q113" s="392"/>
      <c r="R113" s="392"/>
      <c r="S113" s="392"/>
      <c r="T113" s="392"/>
      <c r="U113" s="392"/>
      <c r="V113" s="392"/>
      <c r="W113" s="392"/>
      <c r="X113" s="392"/>
      <c r="Y113" s="392"/>
      <c r="Z113" s="392"/>
      <c r="AA113" s="392"/>
      <c r="AB113" s="392"/>
      <c r="AC113" s="392"/>
      <c r="AD113" s="392"/>
      <c r="AE113" s="392"/>
      <c r="AF113" s="392"/>
      <c r="AG113" s="392"/>
      <c r="AH113" s="392"/>
      <c r="AI113" s="392"/>
      <c r="AJ113" s="392"/>
      <c r="AK113" s="392"/>
      <c r="AL113" s="392"/>
      <c r="AM113" s="392"/>
      <c r="AN113" s="392"/>
      <c r="AO113" s="392"/>
      <c r="AP113" s="392"/>
      <c r="AQ113" s="392"/>
      <c r="AR113" s="392"/>
      <c r="AS113" s="392"/>
      <c r="AT113" s="392"/>
    </row>
    <row r="114" spans="1:46" ht="6.6" customHeight="1" x14ac:dyDescent="0.2">
      <c r="A114" s="390"/>
      <c r="B114" s="390"/>
      <c r="C114" s="390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</row>
    <row r="115" spans="1:46" ht="6.6" customHeight="1" x14ac:dyDescent="0.2"/>
    <row r="116" spans="1:46" ht="6.6" customHeight="1" x14ac:dyDescent="0.2">
      <c r="X116" s="393"/>
      <c r="Y116" s="393"/>
      <c r="Z116" s="393"/>
      <c r="AA116" s="393"/>
      <c r="AB116" s="393"/>
      <c r="AC116" s="393"/>
      <c r="AD116" s="393"/>
      <c r="AE116" s="393"/>
      <c r="AF116" s="393"/>
      <c r="AG116" s="393"/>
      <c r="AH116" s="393"/>
      <c r="AI116" s="393"/>
      <c r="AJ116" s="393"/>
      <c r="AK116" s="393"/>
      <c r="AL116" s="393"/>
      <c r="AM116" s="395" t="s">
        <v>474</v>
      </c>
      <c r="AN116" s="395"/>
      <c r="AO116" s="395"/>
      <c r="AP116" s="395"/>
    </row>
    <row r="117" spans="1:46" ht="6.6" customHeight="1" x14ac:dyDescent="0.2">
      <c r="X117" s="394"/>
      <c r="Y117" s="394"/>
      <c r="Z117" s="394"/>
      <c r="AA117" s="394"/>
      <c r="AB117" s="394"/>
      <c r="AC117" s="394"/>
      <c r="AD117" s="394"/>
      <c r="AE117" s="394"/>
      <c r="AF117" s="394"/>
      <c r="AG117" s="394"/>
      <c r="AH117" s="394"/>
      <c r="AI117" s="394"/>
      <c r="AJ117" s="394"/>
      <c r="AK117" s="394"/>
      <c r="AL117" s="394"/>
      <c r="AM117" s="395"/>
      <c r="AN117" s="395"/>
      <c r="AO117" s="395"/>
      <c r="AP117" s="395"/>
    </row>
    <row r="118" spans="1:46" ht="6.6" customHeight="1" thickBot="1" x14ac:dyDescent="0.25"/>
    <row r="119" spans="1:46" ht="6.6" customHeight="1" thickTop="1" x14ac:dyDescent="0.2">
      <c r="A119" s="300" t="s">
        <v>503</v>
      </c>
      <c r="B119" s="301"/>
      <c r="C119" s="301"/>
      <c r="D119" s="301"/>
      <c r="E119" s="301"/>
      <c r="F119" s="301"/>
      <c r="G119" s="301"/>
      <c r="H119" s="301"/>
      <c r="I119" s="301"/>
      <c r="J119" s="301"/>
      <c r="K119" s="301"/>
      <c r="L119" s="301"/>
      <c r="M119" s="301"/>
      <c r="N119" s="301"/>
      <c r="O119" s="301"/>
      <c r="P119" s="301"/>
      <c r="Q119" s="301"/>
      <c r="R119" s="301"/>
      <c r="S119" s="301"/>
      <c r="T119" s="301"/>
      <c r="U119" s="301"/>
      <c r="V119" s="301"/>
      <c r="W119" s="301"/>
      <c r="X119" s="301"/>
      <c r="Y119" s="301"/>
      <c r="Z119" s="301"/>
      <c r="AA119" s="301"/>
      <c r="AB119" s="301"/>
      <c r="AC119" s="301"/>
      <c r="AD119" s="301"/>
      <c r="AE119" s="301"/>
      <c r="AF119" s="301"/>
      <c r="AG119" s="301"/>
      <c r="AH119" s="301"/>
      <c r="AI119" s="301"/>
      <c r="AJ119" s="301"/>
      <c r="AK119" s="301"/>
      <c r="AL119" s="301"/>
      <c r="AM119" s="301"/>
      <c r="AN119" s="301"/>
      <c r="AO119" s="301"/>
      <c r="AP119" s="301"/>
      <c r="AQ119" s="301"/>
      <c r="AR119" s="301"/>
      <c r="AS119" s="301"/>
      <c r="AT119" s="302"/>
    </row>
    <row r="120" spans="1:46" ht="6.6" customHeight="1" x14ac:dyDescent="0.2">
      <c r="A120" s="303"/>
      <c r="B120" s="304"/>
      <c r="C120" s="304"/>
      <c r="D120" s="304"/>
      <c r="E120" s="304"/>
      <c r="F120" s="304"/>
      <c r="G120" s="304"/>
      <c r="H120" s="304"/>
      <c r="I120" s="304"/>
      <c r="J120" s="304"/>
      <c r="K120" s="304"/>
      <c r="L120" s="304"/>
      <c r="M120" s="304"/>
      <c r="N120" s="304"/>
      <c r="O120" s="304"/>
      <c r="P120" s="304"/>
      <c r="Q120" s="304"/>
      <c r="R120" s="304"/>
      <c r="S120" s="304"/>
      <c r="T120" s="304"/>
      <c r="U120" s="304"/>
      <c r="V120" s="304"/>
      <c r="W120" s="304"/>
      <c r="X120" s="304"/>
      <c r="Y120" s="304"/>
      <c r="Z120" s="304"/>
      <c r="AA120" s="304"/>
      <c r="AB120" s="304"/>
      <c r="AC120" s="304"/>
      <c r="AD120" s="304"/>
      <c r="AE120" s="304"/>
      <c r="AF120" s="304"/>
      <c r="AG120" s="304"/>
      <c r="AH120" s="304"/>
      <c r="AI120" s="304"/>
      <c r="AJ120" s="304"/>
      <c r="AK120" s="304"/>
      <c r="AL120" s="304"/>
      <c r="AM120" s="304"/>
      <c r="AN120" s="304"/>
      <c r="AO120" s="304"/>
      <c r="AP120" s="304"/>
      <c r="AQ120" s="304"/>
      <c r="AR120" s="304"/>
      <c r="AS120" s="304"/>
      <c r="AT120" s="305"/>
    </row>
    <row r="121" spans="1:46" ht="6.6" customHeight="1" x14ac:dyDescent="0.2">
      <c r="A121" s="303"/>
      <c r="B121" s="304"/>
      <c r="C121" s="304"/>
      <c r="D121" s="304"/>
      <c r="E121" s="304"/>
      <c r="F121" s="304"/>
      <c r="G121" s="304"/>
      <c r="H121" s="304"/>
      <c r="I121" s="304"/>
      <c r="J121" s="304"/>
      <c r="K121" s="304"/>
      <c r="L121" s="304"/>
      <c r="M121" s="304"/>
      <c r="N121" s="304"/>
      <c r="O121" s="304"/>
      <c r="P121" s="304"/>
      <c r="Q121" s="304"/>
      <c r="R121" s="304"/>
      <c r="S121" s="304"/>
      <c r="T121" s="304"/>
      <c r="U121" s="304"/>
      <c r="V121" s="304"/>
      <c r="W121" s="304"/>
      <c r="X121" s="304"/>
      <c r="Y121" s="304"/>
      <c r="Z121" s="304"/>
      <c r="AA121" s="304"/>
      <c r="AB121" s="304"/>
      <c r="AC121" s="304"/>
      <c r="AD121" s="304"/>
      <c r="AE121" s="304"/>
      <c r="AF121" s="304"/>
      <c r="AG121" s="304"/>
      <c r="AH121" s="304"/>
      <c r="AI121" s="304"/>
      <c r="AJ121" s="304"/>
      <c r="AK121" s="304"/>
      <c r="AL121" s="304"/>
      <c r="AM121" s="304"/>
      <c r="AN121" s="304"/>
      <c r="AO121" s="304"/>
      <c r="AP121" s="304"/>
      <c r="AQ121" s="304"/>
      <c r="AR121" s="304"/>
      <c r="AS121" s="304"/>
      <c r="AT121" s="305"/>
    </row>
    <row r="122" spans="1:46" ht="6.6" customHeight="1" x14ac:dyDescent="0.2">
      <c r="A122" s="303"/>
      <c r="B122" s="304"/>
      <c r="C122" s="304"/>
      <c r="D122" s="304"/>
      <c r="E122" s="304"/>
      <c r="F122" s="304"/>
      <c r="G122" s="304"/>
      <c r="H122" s="304"/>
      <c r="I122" s="304"/>
      <c r="J122" s="304"/>
      <c r="K122" s="304"/>
      <c r="L122" s="304"/>
      <c r="M122" s="304"/>
      <c r="N122" s="304"/>
      <c r="O122" s="304"/>
      <c r="P122" s="304"/>
      <c r="Q122" s="304"/>
      <c r="R122" s="304"/>
      <c r="S122" s="304"/>
      <c r="T122" s="304"/>
      <c r="U122" s="304"/>
      <c r="V122" s="304"/>
      <c r="W122" s="304"/>
      <c r="X122" s="304"/>
      <c r="Y122" s="304"/>
      <c r="Z122" s="304"/>
      <c r="AA122" s="304"/>
      <c r="AB122" s="304"/>
      <c r="AC122" s="304"/>
      <c r="AD122" s="304"/>
      <c r="AE122" s="304"/>
      <c r="AF122" s="304"/>
      <c r="AG122" s="304"/>
      <c r="AH122" s="304"/>
      <c r="AI122" s="304"/>
      <c r="AJ122" s="304"/>
      <c r="AK122" s="304"/>
      <c r="AL122" s="304"/>
      <c r="AM122" s="304"/>
      <c r="AN122" s="304"/>
      <c r="AO122" s="304"/>
      <c r="AP122" s="304"/>
      <c r="AQ122" s="304"/>
      <c r="AR122" s="304"/>
      <c r="AS122" s="304"/>
      <c r="AT122" s="305"/>
    </row>
    <row r="123" spans="1:46" ht="6.6" customHeight="1" thickBot="1" x14ac:dyDescent="0.25">
      <c r="A123" s="306"/>
      <c r="B123" s="307"/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8"/>
    </row>
    <row r="124" spans="1:46" ht="6.6" customHeight="1" thickTop="1" x14ac:dyDescent="0.2">
      <c r="A124" s="282" t="s">
        <v>504</v>
      </c>
      <c r="B124" s="280"/>
      <c r="C124" s="280"/>
      <c r="D124" s="64"/>
      <c r="E124" s="64"/>
      <c r="F124" s="315" t="s">
        <v>505</v>
      </c>
      <c r="G124" s="315"/>
      <c r="H124" s="315"/>
      <c r="I124" s="315"/>
      <c r="J124" s="315"/>
      <c r="K124" s="315"/>
      <c r="L124" s="315"/>
      <c r="M124" s="315"/>
      <c r="N124" s="315"/>
      <c r="O124" s="315"/>
      <c r="P124" s="315"/>
      <c r="Q124" s="315"/>
      <c r="R124" s="316"/>
      <c r="S124" s="309"/>
      <c r="T124" s="309"/>
      <c r="U124" s="309"/>
      <c r="V124" s="309"/>
      <c r="W124" s="309"/>
      <c r="X124" s="309"/>
      <c r="Y124" s="309"/>
      <c r="Z124" s="309"/>
      <c r="AA124" s="311">
        <v>1</v>
      </c>
      <c r="AB124" s="311"/>
      <c r="AC124" s="311"/>
      <c r="AD124" s="311"/>
      <c r="AE124" s="311"/>
      <c r="AF124" s="311">
        <v>2</v>
      </c>
      <c r="AG124" s="311"/>
      <c r="AH124" s="311"/>
      <c r="AI124" s="311"/>
      <c r="AJ124" s="311"/>
      <c r="AK124" s="311">
        <v>3</v>
      </c>
      <c r="AL124" s="311"/>
      <c r="AM124" s="311"/>
      <c r="AN124" s="311"/>
      <c r="AO124" s="311"/>
      <c r="AP124" s="311">
        <v>4</v>
      </c>
      <c r="AQ124" s="311"/>
      <c r="AR124" s="311"/>
      <c r="AS124" s="311"/>
      <c r="AT124" s="313"/>
    </row>
    <row r="125" spans="1:46" ht="6.6" customHeight="1" x14ac:dyDescent="0.2">
      <c r="A125" s="282"/>
      <c r="B125" s="280"/>
      <c r="C125" s="280"/>
      <c r="D125" s="64"/>
      <c r="E125" s="64"/>
      <c r="F125" s="315"/>
      <c r="G125" s="315"/>
      <c r="H125" s="315"/>
      <c r="I125" s="315"/>
      <c r="J125" s="315"/>
      <c r="K125" s="315"/>
      <c r="L125" s="315"/>
      <c r="M125" s="315"/>
      <c r="N125" s="315"/>
      <c r="O125" s="315"/>
      <c r="P125" s="315"/>
      <c r="Q125" s="315"/>
      <c r="R125" s="316"/>
      <c r="S125" s="310"/>
      <c r="T125" s="310"/>
      <c r="U125" s="310"/>
      <c r="V125" s="310"/>
      <c r="W125" s="310"/>
      <c r="X125" s="310"/>
      <c r="Y125" s="310"/>
      <c r="Z125" s="310"/>
      <c r="AA125" s="312"/>
      <c r="AB125" s="312"/>
      <c r="AC125" s="312"/>
      <c r="AD125" s="312"/>
      <c r="AE125" s="312"/>
      <c r="AF125" s="312"/>
      <c r="AG125" s="312"/>
      <c r="AH125" s="312"/>
      <c r="AI125" s="312"/>
      <c r="AJ125" s="312"/>
      <c r="AK125" s="312"/>
      <c r="AL125" s="312"/>
      <c r="AM125" s="312"/>
      <c r="AN125" s="312"/>
      <c r="AO125" s="312"/>
      <c r="AP125" s="312"/>
      <c r="AQ125" s="312"/>
      <c r="AR125" s="312"/>
      <c r="AS125" s="312"/>
      <c r="AT125" s="314"/>
    </row>
    <row r="126" spans="1:46" ht="6.6" customHeight="1" x14ac:dyDescent="0.2">
      <c r="A126" s="319"/>
      <c r="B126" s="291"/>
      <c r="C126" s="291"/>
      <c r="D126" s="291"/>
      <c r="E126" s="291"/>
      <c r="F126" s="315"/>
      <c r="G126" s="315"/>
      <c r="H126" s="315"/>
      <c r="I126" s="315"/>
      <c r="J126" s="315"/>
      <c r="K126" s="315"/>
      <c r="L126" s="315"/>
      <c r="M126" s="315"/>
      <c r="N126" s="315"/>
      <c r="O126" s="315"/>
      <c r="P126" s="315"/>
      <c r="Q126" s="315"/>
      <c r="R126" s="316"/>
      <c r="S126" s="310"/>
      <c r="T126" s="310"/>
      <c r="U126" s="310"/>
      <c r="V126" s="310"/>
      <c r="W126" s="310"/>
      <c r="X126" s="310"/>
      <c r="Y126" s="310"/>
      <c r="Z126" s="310"/>
      <c r="AA126" s="312"/>
      <c r="AB126" s="312"/>
      <c r="AC126" s="312"/>
      <c r="AD126" s="312"/>
      <c r="AE126" s="312"/>
      <c r="AF126" s="312"/>
      <c r="AG126" s="312"/>
      <c r="AH126" s="312"/>
      <c r="AI126" s="312"/>
      <c r="AJ126" s="312"/>
      <c r="AK126" s="312"/>
      <c r="AL126" s="312"/>
      <c r="AM126" s="312"/>
      <c r="AN126" s="312"/>
      <c r="AO126" s="312"/>
      <c r="AP126" s="312"/>
      <c r="AQ126" s="312"/>
      <c r="AR126" s="312"/>
      <c r="AS126" s="312"/>
      <c r="AT126" s="314"/>
    </row>
    <row r="127" spans="1:46" ht="6.6" customHeight="1" x14ac:dyDescent="0.2">
      <c r="A127" s="320"/>
      <c r="B127" s="321"/>
      <c r="C127" s="321"/>
      <c r="D127" s="321"/>
      <c r="E127" s="321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8"/>
      <c r="S127" s="310"/>
      <c r="T127" s="310"/>
      <c r="U127" s="310"/>
      <c r="V127" s="310"/>
      <c r="W127" s="310"/>
      <c r="X127" s="310"/>
      <c r="Y127" s="310"/>
      <c r="Z127" s="310"/>
      <c r="AA127" s="312"/>
      <c r="AB127" s="312"/>
      <c r="AC127" s="312"/>
      <c r="AD127" s="312"/>
      <c r="AE127" s="312"/>
      <c r="AF127" s="312"/>
      <c r="AG127" s="312"/>
      <c r="AH127" s="312"/>
      <c r="AI127" s="312"/>
      <c r="AJ127" s="312"/>
      <c r="AK127" s="312"/>
      <c r="AL127" s="312"/>
      <c r="AM127" s="312"/>
      <c r="AN127" s="312"/>
      <c r="AO127" s="312"/>
      <c r="AP127" s="312"/>
      <c r="AQ127" s="312"/>
      <c r="AR127" s="312"/>
      <c r="AS127" s="312"/>
      <c r="AT127" s="314"/>
    </row>
    <row r="128" spans="1:46" ht="6.6" customHeight="1" x14ac:dyDescent="0.2">
      <c r="A128" s="396" t="s">
        <v>506</v>
      </c>
      <c r="B128" s="397"/>
      <c r="C128" s="397"/>
      <c r="D128" s="397"/>
      <c r="E128" s="397"/>
      <c r="F128" s="397"/>
      <c r="G128" s="397"/>
      <c r="H128" s="397"/>
      <c r="I128" s="397"/>
      <c r="J128" s="397"/>
      <c r="K128" s="397"/>
      <c r="L128" s="397"/>
      <c r="M128" s="397"/>
      <c r="N128" s="397"/>
      <c r="O128" s="397"/>
      <c r="P128" s="397"/>
      <c r="Q128" s="397"/>
      <c r="R128" s="397"/>
      <c r="S128" s="310"/>
      <c r="T128" s="310"/>
      <c r="U128" s="310"/>
      <c r="V128" s="310"/>
      <c r="W128" s="310"/>
      <c r="X128" s="310"/>
      <c r="Y128" s="310"/>
      <c r="Z128" s="310"/>
      <c r="AA128" s="388"/>
      <c r="AB128" s="388"/>
      <c r="AC128" s="388"/>
      <c r="AD128" s="388"/>
      <c r="AE128" s="388"/>
      <c r="AF128" s="388"/>
      <c r="AG128" s="388"/>
      <c r="AH128" s="388"/>
      <c r="AI128" s="388"/>
      <c r="AJ128" s="388"/>
      <c r="AK128" s="388"/>
      <c r="AL128" s="388"/>
      <c r="AM128" s="388"/>
      <c r="AN128" s="388"/>
      <c r="AO128" s="388"/>
      <c r="AP128" s="388"/>
      <c r="AQ128" s="388"/>
      <c r="AR128" s="388"/>
      <c r="AS128" s="388"/>
      <c r="AT128" s="389"/>
    </row>
    <row r="129" spans="1:46" ht="6.6" customHeight="1" x14ac:dyDescent="0.2">
      <c r="A129" s="398"/>
      <c r="B129" s="397"/>
      <c r="C129" s="397"/>
      <c r="D129" s="397"/>
      <c r="E129" s="397"/>
      <c r="F129" s="397"/>
      <c r="G129" s="397"/>
      <c r="H129" s="397"/>
      <c r="I129" s="397"/>
      <c r="J129" s="397"/>
      <c r="K129" s="397"/>
      <c r="L129" s="397"/>
      <c r="M129" s="397"/>
      <c r="N129" s="397"/>
      <c r="O129" s="397"/>
      <c r="P129" s="397"/>
      <c r="Q129" s="397"/>
      <c r="R129" s="397"/>
      <c r="S129" s="310"/>
      <c r="T129" s="310"/>
      <c r="U129" s="310"/>
      <c r="V129" s="310"/>
      <c r="W129" s="310"/>
      <c r="X129" s="310"/>
      <c r="Y129" s="310"/>
      <c r="Z129" s="310"/>
      <c r="AA129" s="388"/>
      <c r="AB129" s="388"/>
      <c r="AC129" s="388"/>
      <c r="AD129" s="388"/>
      <c r="AE129" s="388"/>
      <c r="AF129" s="388"/>
      <c r="AG129" s="388"/>
      <c r="AH129" s="388"/>
      <c r="AI129" s="388"/>
      <c r="AJ129" s="388"/>
      <c r="AK129" s="388"/>
      <c r="AL129" s="388"/>
      <c r="AM129" s="388"/>
      <c r="AN129" s="388"/>
      <c r="AO129" s="388"/>
      <c r="AP129" s="388"/>
      <c r="AQ129" s="388"/>
      <c r="AR129" s="388"/>
      <c r="AS129" s="388"/>
      <c r="AT129" s="389"/>
    </row>
    <row r="130" spans="1:46" ht="6.6" customHeight="1" x14ac:dyDescent="0.2">
      <c r="A130" s="398"/>
      <c r="B130" s="397"/>
      <c r="C130" s="397"/>
      <c r="D130" s="397"/>
      <c r="E130" s="397"/>
      <c r="F130" s="397"/>
      <c r="G130" s="397"/>
      <c r="H130" s="397"/>
      <c r="I130" s="397"/>
      <c r="J130" s="397"/>
      <c r="K130" s="397"/>
      <c r="L130" s="397"/>
      <c r="M130" s="397"/>
      <c r="N130" s="397"/>
      <c r="O130" s="397"/>
      <c r="P130" s="397"/>
      <c r="Q130" s="397"/>
      <c r="R130" s="397"/>
      <c r="S130" s="310"/>
      <c r="T130" s="310"/>
      <c r="U130" s="310"/>
      <c r="V130" s="310"/>
      <c r="W130" s="310"/>
      <c r="X130" s="310"/>
      <c r="Y130" s="310"/>
      <c r="Z130" s="310"/>
      <c r="AA130" s="388"/>
      <c r="AB130" s="388"/>
      <c r="AC130" s="388"/>
      <c r="AD130" s="388"/>
      <c r="AE130" s="388"/>
      <c r="AF130" s="388"/>
      <c r="AG130" s="388"/>
      <c r="AH130" s="388"/>
      <c r="AI130" s="388"/>
      <c r="AJ130" s="388"/>
      <c r="AK130" s="388"/>
      <c r="AL130" s="388"/>
      <c r="AM130" s="388"/>
      <c r="AN130" s="388"/>
      <c r="AO130" s="388"/>
      <c r="AP130" s="388"/>
      <c r="AQ130" s="388"/>
      <c r="AR130" s="388"/>
      <c r="AS130" s="388"/>
      <c r="AT130" s="389"/>
    </row>
    <row r="131" spans="1:46" ht="6.6" customHeight="1" x14ac:dyDescent="0.2">
      <c r="A131" s="398"/>
      <c r="B131" s="397"/>
      <c r="C131" s="397"/>
      <c r="D131" s="397"/>
      <c r="E131" s="397"/>
      <c r="F131" s="397"/>
      <c r="G131" s="397"/>
      <c r="H131" s="397"/>
      <c r="I131" s="397"/>
      <c r="J131" s="397"/>
      <c r="K131" s="397"/>
      <c r="L131" s="397"/>
      <c r="M131" s="397"/>
      <c r="N131" s="397"/>
      <c r="O131" s="397"/>
      <c r="P131" s="397"/>
      <c r="Q131" s="397"/>
      <c r="R131" s="397"/>
      <c r="S131" s="310"/>
      <c r="T131" s="310"/>
      <c r="U131" s="310"/>
      <c r="V131" s="310"/>
      <c r="W131" s="310"/>
      <c r="X131" s="310"/>
      <c r="Y131" s="310"/>
      <c r="Z131" s="310"/>
      <c r="AA131" s="388"/>
      <c r="AB131" s="388"/>
      <c r="AC131" s="388"/>
      <c r="AD131" s="388"/>
      <c r="AE131" s="388"/>
      <c r="AF131" s="388"/>
      <c r="AG131" s="388"/>
      <c r="AH131" s="388"/>
      <c r="AI131" s="388"/>
      <c r="AJ131" s="388"/>
      <c r="AK131" s="388"/>
      <c r="AL131" s="388"/>
      <c r="AM131" s="388"/>
      <c r="AN131" s="388"/>
      <c r="AO131" s="388"/>
      <c r="AP131" s="388"/>
      <c r="AQ131" s="388"/>
      <c r="AR131" s="388"/>
      <c r="AS131" s="388"/>
      <c r="AT131" s="389"/>
    </row>
    <row r="132" spans="1:46" ht="6.6" customHeight="1" x14ac:dyDescent="0.2">
      <c r="A132" s="396" t="s">
        <v>507</v>
      </c>
      <c r="B132" s="397"/>
      <c r="C132" s="397"/>
      <c r="D132" s="397"/>
      <c r="E132" s="397"/>
      <c r="F132" s="397"/>
      <c r="G132" s="397"/>
      <c r="H132" s="397"/>
      <c r="I132" s="397"/>
      <c r="J132" s="397"/>
      <c r="K132" s="397"/>
      <c r="L132" s="397"/>
      <c r="M132" s="397"/>
      <c r="N132" s="397"/>
      <c r="O132" s="397"/>
      <c r="P132" s="397"/>
      <c r="Q132" s="397"/>
      <c r="R132" s="397"/>
      <c r="S132" s="310"/>
      <c r="T132" s="310"/>
      <c r="U132" s="310"/>
      <c r="V132" s="310"/>
      <c r="W132" s="310"/>
      <c r="X132" s="310"/>
      <c r="Y132" s="310"/>
      <c r="Z132" s="310"/>
      <c r="AA132" s="388"/>
      <c r="AB132" s="388"/>
      <c r="AC132" s="388"/>
      <c r="AD132" s="388"/>
      <c r="AE132" s="388"/>
      <c r="AF132" s="388"/>
      <c r="AG132" s="388"/>
      <c r="AH132" s="388"/>
      <c r="AI132" s="388"/>
      <c r="AJ132" s="388"/>
      <c r="AK132" s="388"/>
      <c r="AL132" s="388"/>
      <c r="AM132" s="388"/>
      <c r="AN132" s="388"/>
      <c r="AO132" s="388"/>
      <c r="AP132" s="388"/>
      <c r="AQ132" s="388"/>
      <c r="AR132" s="388"/>
      <c r="AS132" s="388"/>
      <c r="AT132" s="389"/>
    </row>
    <row r="133" spans="1:46" ht="6.6" customHeight="1" x14ac:dyDescent="0.2">
      <c r="A133" s="398"/>
      <c r="B133" s="397"/>
      <c r="C133" s="397"/>
      <c r="D133" s="397"/>
      <c r="E133" s="397"/>
      <c r="F133" s="397"/>
      <c r="G133" s="397"/>
      <c r="H133" s="397"/>
      <c r="I133" s="397"/>
      <c r="J133" s="397"/>
      <c r="K133" s="397"/>
      <c r="L133" s="397"/>
      <c r="M133" s="397"/>
      <c r="N133" s="397"/>
      <c r="O133" s="397"/>
      <c r="P133" s="397"/>
      <c r="Q133" s="397"/>
      <c r="R133" s="397"/>
      <c r="S133" s="310"/>
      <c r="T133" s="310"/>
      <c r="U133" s="310"/>
      <c r="V133" s="310"/>
      <c r="W133" s="310"/>
      <c r="X133" s="310"/>
      <c r="Y133" s="310"/>
      <c r="Z133" s="310"/>
      <c r="AA133" s="388"/>
      <c r="AB133" s="388"/>
      <c r="AC133" s="388"/>
      <c r="AD133" s="388"/>
      <c r="AE133" s="388"/>
      <c r="AF133" s="388"/>
      <c r="AG133" s="388"/>
      <c r="AH133" s="388"/>
      <c r="AI133" s="388"/>
      <c r="AJ133" s="388"/>
      <c r="AK133" s="388"/>
      <c r="AL133" s="388"/>
      <c r="AM133" s="388"/>
      <c r="AN133" s="388"/>
      <c r="AO133" s="388"/>
      <c r="AP133" s="388"/>
      <c r="AQ133" s="388"/>
      <c r="AR133" s="388"/>
      <c r="AS133" s="388"/>
      <c r="AT133" s="389"/>
    </row>
    <row r="134" spans="1:46" ht="6.6" customHeight="1" x14ac:dyDescent="0.2">
      <c r="A134" s="398"/>
      <c r="B134" s="397"/>
      <c r="C134" s="397"/>
      <c r="D134" s="397"/>
      <c r="E134" s="397"/>
      <c r="F134" s="397"/>
      <c r="G134" s="397"/>
      <c r="H134" s="397"/>
      <c r="I134" s="397"/>
      <c r="J134" s="397"/>
      <c r="K134" s="397"/>
      <c r="L134" s="397"/>
      <c r="M134" s="397"/>
      <c r="N134" s="397"/>
      <c r="O134" s="397"/>
      <c r="P134" s="397"/>
      <c r="Q134" s="397"/>
      <c r="R134" s="397"/>
      <c r="S134" s="310"/>
      <c r="T134" s="310"/>
      <c r="U134" s="310"/>
      <c r="V134" s="310"/>
      <c r="W134" s="310"/>
      <c r="X134" s="310"/>
      <c r="Y134" s="310"/>
      <c r="Z134" s="310"/>
      <c r="AA134" s="388"/>
      <c r="AB134" s="388"/>
      <c r="AC134" s="388"/>
      <c r="AD134" s="388"/>
      <c r="AE134" s="388"/>
      <c r="AF134" s="388"/>
      <c r="AG134" s="388"/>
      <c r="AH134" s="388"/>
      <c r="AI134" s="388"/>
      <c r="AJ134" s="388"/>
      <c r="AK134" s="388"/>
      <c r="AL134" s="388"/>
      <c r="AM134" s="388"/>
      <c r="AN134" s="388"/>
      <c r="AO134" s="388"/>
      <c r="AP134" s="388"/>
      <c r="AQ134" s="388"/>
      <c r="AR134" s="388"/>
      <c r="AS134" s="388"/>
      <c r="AT134" s="389"/>
    </row>
    <row r="135" spans="1:46" ht="6.6" customHeight="1" x14ac:dyDescent="0.2">
      <c r="A135" s="398"/>
      <c r="B135" s="397"/>
      <c r="C135" s="397"/>
      <c r="D135" s="397"/>
      <c r="E135" s="397"/>
      <c r="F135" s="397"/>
      <c r="G135" s="397"/>
      <c r="H135" s="397"/>
      <c r="I135" s="397"/>
      <c r="J135" s="397"/>
      <c r="K135" s="397"/>
      <c r="L135" s="397"/>
      <c r="M135" s="397"/>
      <c r="N135" s="397"/>
      <c r="O135" s="397"/>
      <c r="P135" s="397"/>
      <c r="Q135" s="397"/>
      <c r="R135" s="397"/>
      <c r="S135" s="310"/>
      <c r="T135" s="310"/>
      <c r="U135" s="310"/>
      <c r="V135" s="310"/>
      <c r="W135" s="310"/>
      <c r="X135" s="310"/>
      <c r="Y135" s="310"/>
      <c r="Z135" s="310"/>
      <c r="AA135" s="388"/>
      <c r="AB135" s="388"/>
      <c r="AC135" s="388"/>
      <c r="AD135" s="388"/>
      <c r="AE135" s="388"/>
      <c r="AF135" s="388"/>
      <c r="AG135" s="388"/>
      <c r="AH135" s="388"/>
      <c r="AI135" s="388"/>
      <c r="AJ135" s="388"/>
      <c r="AK135" s="388"/>
      <c r="AL135" s="388"/>
      <c r="AM135" s="388"/>
      <c r="AN135" s="388"/>
      <c r="AO135" s="388"/>
      <c r="AP135" s="388"/>
      <c r="AQ135" s="388"/>
      <c r="AR135" s="388"/>
      <c r="AS135" s="388"/>
      <c r="AT135" s="389"/>
    </row>
    <row r="136" spans="1:46" ht="6.6" customHeight="1" x14ac:dyDescent="0.2">
      <c r="A136" s="396" t="s">
        <v>508</v>
      </c>
      <c r="B136" s="397"/>
      <c r="C136" s="397"/>
      <c r="D136" s="397"/>
      <c r="E136" s="397"/>
      <c r="F136" s="397"/>
      <c r="G136" s="397"/>
      <c r="H136" s="397"/>
      <c r="I136" s="397"/>
      <c r="J136" s="397"/>
      <c r="K136" s="397"/>
      <c r="L136" s="397"/>
      <c r="M136" s="397"/>
      <c r="N136" s="397"/>
      <c r="O136" s="397"/>
      <c r="P136" s="397"/>
      <c r="Q136" s="397"/>
      <c r="R136" s="397"/>
      <c r="S136" s="310"/>
      <c r="T136" s="310"/>
      <c r="U136" s="310"/>
      <c r="V136" s="310"/>
      <c r="W136" s="310"/>
      <c r="X136" s="310"/>
      <c r="Y136" s="310"/>
      <c r="Z136" s="310"/>
      <c r="AA136" s="388"/>
      <c r="AB136" s="388"/>
      <c r="AC136" s="388"/>
      <c r="AD136" s="388"/>
      <c r="AE136" s="388"/>
      <c r="AF136" s="388"/>
      <c r="AG136" s="388"/>
      <c r="AH136" s="388"/>
      <c r="AI136" s="388"/>
      <c r="AJ136" s="388"/>
      <c r="AK136" s="388"/>
      <c r="AL136" s="388"/>
      <c r="AM136" s="388"/>
      <c r="AN136" s="388"/>
      <c r="AO136" s="388"/>
      <c r="AP136" s="388"/>
      <c r="AQ136" s="388"/>
      <c r="AR136" s="388"/>
      <c r="AS136" s="388"/>
      <c r="AT136" s="389"/>
    </row>
    <row r="137" spans="1:46" ht="6.6" customHeight="1" x14ac:dyDescent="0.2">
      <c r="A137" s="398"/>
      <c r="B137" s="397"/>
      <c r="C137" s="397"/>
      <c r="D137" s="397"/>
      <c r="E137" s="397"/>
      <c r="F137" s="397"/>
      <c r="G137" s="397"/>
      <c r="H137" s="397"/>
      <c r="I137" s="397"/>
      <c r="J137" s="397"/>
      <c r="K137" s="397"/>
      <c r="L137" s="397"/>
      <c r="M137" s="397"/>
      <c r="N137" s="397"/>
      <c r="O137" s="397"/>
      <c r="P137" s="397"/>
      <c r="Q137" s="397"/>
      <c r="R137" s="397"/>
      <c r="S137" s="310"/>
      <c r="T137" s="310"/>
      <c r="U137" s="310"/>
      <c r="V137" s="310"/>
      <c r="W137" s="310"/>
      <c r="X137" s="310"/>
      <c r="Y137" s="310"/>
      <c r="Z137" s="310"/>
      <c r="AA137" s="388"/>
      <c r="AB137" s="388"/>
      <c r="AC137" s="388"/>
      <c r="AD137" s="388"/>
      <c r="AE137" s="388"/>
      <c r="AF137" s="388"/>
      <c r="AG137" s="388"/>
      <c r="AH137" s="388"/>
      <c r="AI137" s="388"/>
      <c r="AJ137" s="388"/>
      <c r="AK137" s="388"/>
      <c r="AL137" s="388"/>
      <c r="AM137" s="388"/>
      <c r="AN137" s="388"/>
      <c r="AO137" s="388"/>
      <c r="AP137" s="388"/>
      <c r="AQ137" s="388"/>
      <c r="AR137" s="388"/>
      <c r="AS137" s="388"/>
      <c r="AT137" s="389"/>
    </row>
    <row r="138" spans="1:46" ht="6.6" customHeight="1" x14ac:dyDescent="0.2">
      <c r="A138" s="398"/>
      <c r="B138" s="397"/>
      <c r="C138" s="397"/>
      <c r="D138" s="397"/>
      <c r="E138" s="397"/>
      <c r="F138" s="397"/>
      <c r="G138" s="397"/>
      <c r="H138" s="397"/>
      <c r="I138" s="397"/>
      <c r="J138" s="397"/>
      <c r="K138" s="397"/>
      <c r="L138" s="397"/>
      <c r="M138" s="397"/>
      <c r="N138" s="397"/>
      <c r="O138" s="397"/>
      <c r="P138" s="397"/>
      <c r="Q138" s="397"/>
      <c r="R138" s="397"/>
      <c r="S138" s="310"/>
      <c r="T138" s="310"/>
      <c r="U138" s="310"/>
      <c r="V138" s="310"/>
      <c r="W138" s="310"/>
      <c r="X138" s="310"/>
      <c r="Y138" s="310"/>
      <c r="Z138" s="310"/>
      <c r="AA138" s="388"/>
      <c r="AB138" s="388"/>
      <c r="AC138" s="388"/>
      <c r="AD138" s="388"/>
      <c r="AE138" s="388"/>
      <c r="AF138" s="388"/>
      <c r="AG138" s="388"/>
      <c r="AH138" s="388"/>
      <c r="AI138" s="388"/>
      <c r="AJ138" s="388"/>
      <c r="AK138" s="388"/>
      <c r="AL138" s="388"/>
      <c r="AM138" s="388"/>
      <c r="AN138" s="388"/>
      <c r="AO138" s="388"/>
      <c r="AP138" s="388"/>
      <c r="AQ138" s="388"/>
      <c r="AR138" s="388"/>
      <c r="AS138" s="388"/>
      <c r="AT138" s="389"/>
    </row>
    <row r="139" spans="1:46" ht="6.6" customHeight="1" x14ac:dyDescent="0.2">
      <c r="A139" s="398"/>
      <c r="B139" s="397"/>
      <c r="C139" s="397"/>
      <c r="D139" s="397"/>
      <c r="E139" s="397"/>
      <c r="F139" s="397"/>
      <c r="G139" s="397"/>
      <c r="H139" s="397"/>
      <c r="I139" s="397"/>
      <c r="J139" s="397"/>
      <c r="K139" s="397"/>
      <c r="L139" s="397"/>
      <c r="M139" s="397"/>
      <c r="N139" s="397"/>
      <c r="O139" s="397"/>
      <c r="P139" s="397"/>
      <c r="Q139" s="397"/>
      <c r="R139" s="397"/>
      <c r="S139" s="310"/>
      <c r="T139" s="310"/>
      <c r="U139" s="310"/>
      <c r="V139" s="310"/>
      <c r="W139" s="310"/>
      <c r="X139" s="310"/>
      <c r="Y139" s="310"/>
      <c r="Z139" s="310"/>
      <c r="AA139" s="388"/>
      <c r="AB139" s="388"/>
      <c r="AC139" s="388"/>
      <c r="AD139" s="388"/>
      <c r="AE139" s="388"/>
      <c r="AF139" s="388"/>
      <c r="AG139" s="388"/>
      <c r="AH139" s="388"/>
      <c r="AI139" s="388"/>
      <c r="AJ139" s="388"/>
      <c r="AK139" s="388"/>
      <c r="AL139" s="388"/>
      <c r="AM139" s="388"/>
      <c r="AN139" s="388"/>
      <c r="AO139" s="388"/>
      <c r="AP139" s="388"/>
      <c r="AQ139" s="388"/>
      <c r="AR139" s="388"/>
      <c r="AS139" s="388"/>
      <c r="AT139" s="389"/>
    </row>
    <row r="140" spans="1:46" ht="6.6" customHeight="1" x14ac:dyDescent="0.2">
      <c r="A140" s="396" t="s">
        <v>510</v>
      </c>
      <c r="B140" s="397"/>
      <c r="C140" s="397"/>
      <c r="D140" s="397"/>
      <c r="E140" s="397"/>
      <c r="F140" s="397"/>
      <c r="G140" s="397"/>
      <c r="H140" s="397"/>
      <c r="I140" s="397"/>
      <c r="J140" s="397"/>
      <c r="K140" s="397"/>
      <c r="L140" s="397"/>
      <c r="M140" s="397"/>
      <c r="N140" s="397"/>
      <c r="O140" s="397"/>
      <c r="P140" s="397"/>
      <c r="Q140" s="397"/>
      <c r="R140" s="397"/>
      <c r="S140" s="312"/>
      <c r="T140" s="312"/>
      <c r="U140" s="312"/>
      <c r="V140" s="312"/>
      <c r="W140" s="312"/>
      <c r="X140" s="312"/>
      <c r="Y140" s="312"/>
      <c r="Z140" s="312"/>
      <c r="AA140" s="312" t="str">
        <f>IF(AA128,ROUND((AA128-AA132)/AA128*100,0),"")</f>
        <v/>
      </c>
      <c r="AB140" s="312"/>
      <c r="AC140" s="312"/>
      <c r="AD140" s="312"/>
      <c r="AE140" s="312"/>
      <c r="AF140" s="312" t="str">
        <f>IF(AF128,ROUND((AF128-AF132)/AF128*100,0),"")</f>
        <v/>
      </c>
      <c r="AG140" s="312"/>
      <c r="AH140" s="312"/>
      <c r="AI140" s="312"/>
      <c r="AJ140" s="312"/>
      <c r="AK140" s="312" t="str">
        <f>IF(AK128,ROUND((AK128-AK132)/AK128*100,0),"")</f>
        <v/>
      </c>
      <c r="AL140" s="312"/>
      <c r="AM140" s="312"/>
      <c r="AN140" s="312"/>
      <c r="AO140" s="312"/>
      <c r="AP140" s="312" t="str">
        <f>IF(AP128,ROUND((AP128-AP132)/AP128*100,0),"")</f>
        <v/>
      </c>
      <c r="AQ140" s="312"/>
      <c r="AR140" s="312"/>
      <c r="AS140" s="312"/>
      <c r="AT140" s="314"/>
    </row>
    <row r="141" spans="1:46" ht="6.6" customHeight="1" x14ac:dyDescent="0.2">
      <c r="A141" s="398"/>
      <c r="B141" s="397"/>
      <c r="C141" s="397"/>
      <c r="D141" s="397"/>
      <c r="E141" s="397"/>
      <c r="F141" s="397"/>
      <c r="G141" s="397"/>
      <c r="H141" s="397"/>
      <c r="I141" s="397"/>
      <c r="J141" s="397"/>
      <c r="K141" s="397"/>
      <c r="L141" s="397"/>
      <c r="M141" s="397"/>
      <c r="N141" s="397"/>
      <c r="O141" s="397"/>
      <c r="P141" s="397"/>
      <c r="Q141" s="397"/>
      <c r="R141" s="397"/>
      <c r="S141" s="312"/>
      <c r="T141" s="312"/>
      <c r="U141" s="312"/>
      <c r="V141" s="312"/>
      <c r="W141" s="312"/>
      <c r="X141" s="312"/>
      <c r="Y141" s="312"/>
      <c r="Z141" s="312"/>
      <c r="AA141" s="312"/>
      <c r="AB141" s="312"/>
      <c r="AC141" s="312"/>
      <c r="AD141" s="312"/>
      <c r="AE141" s="312"/>
      <c r="AF141" s="312"/>
      <c r="AG141" s="312"/>
      <c r="AH141" s="312"/>
      <c r="AI141" s="312"/>
      <c r="AJ141" s="312"/>
      <c r="AK141" s="312"/>
      <c r="AL141" s="312"/>
      <c r="AM141" s="312"/>
      <c r="AN141" s="312"/>
      <c r="AO141" s="312"/>
      <c r="AP141" s="312"/>
      <c r="AQ141" s="312"/>
      <c r="AR141" s="312"/>
      <c r="AS141" s="312"/>
      <c r="AT141" s="314"/>
    </row>
    <row r="142" spans="1:46" ht="6.6" customHeight="1" x14ac:dyDescent="0.2">
      <c r="A142" s="398"/>
      <c r="B142" s="397"/>
      <c r="C142" s="397"/>
      <c r="D142" s="397"/>
      <c r="E142" s="397"/>
      <c r="F142" s="397"/>
      <c r="G142" s="397"/>
      <c r="H142" s="397"/>
      <c r="I142" s="397"/>
      <c r="J142" s="397"/>
      <c r="K142" s="397"/>
      <c r="L142" s="397"/>
      <c r="M142" s="397"/>
      <c r="N142" s="397"/>
      <c r="O142" s="397"/>
      <c r="P142" s="397"/>
      <c r="Q142" s="397"/>
      <c r="R142" s="397"/>
      <c r="S142" s="312"/>
      <c r="T142" s="312"/>
      <c r="U142" s="312"/>
      <c r="V142" s="312"/>
      <c r="W142" s="312"/>
      <c r="X142" s="312"/>
      <c r="Y142" s="312"/>
      <c r="Z142" s="312"/>
      <c r="AA142" s="312"/>
      <c r="AB142" s="312"/>
      <c r="AC142" s="312"/>
      <c r="AD142" s="312"/>
      <c r="AE142" s="312"/>
      <c r="AF142" s="312"/>
      <c r="AG142" s="312"/>
      <c r="AH142" s="312"/>
      <c r="AI142" s="312"/>
      <c r="AJ142" s="312"/>
      <c r="AK142" s="312"/>
      <c r="AL142" s="312"/>
      <c r="AM142" s="312"/>
      <c r="AN142" s="312"/>
      <c r="AO142" s="312"/>
      <c r="AP142" s="312"/>
      <c r="AQ142" s="312"/>
      <c r="AR142" s="312"/>
      <c r="AS142" s="312"/>
      <c r="AT142" s="314"/>
    </row>
    <row r="143" spans="1:46" ht="6.6" customHeight="1" x14ac:dyDescent="0.2">
      <c r="A143" s="398"/>
      <c r="B143" s="397"/>
      <c r="C143" s="397"/>
      <c r="D143" s="397"/>
      <c r="E143" s="397"/>
      <c r="F143" s="397"/>
      <c r="G143" s="397"/>
      <c r="H143" s="397"/>
      <c r="I143" s="397"/>
      <c r="J143" s="397"/>
      <c r="K143" s="397"/>
      <c r="L143" s="397"/>
      <c r="M143" s="397"/>
      <c r="N143" s="397"/>
      <c r="O143" s="397"/>
      <c r="P143" s="397"/>
      <c r="Q143" s="397"/>
      <c r="R143" s="397"/>
      <c r="S143" s="312"/>
      <c r="T143" s="312"/>
      <c r="U143" s="312"/>
      <c r="V143" s="312"/>
      <c r="W143" s="312"/>
      <c r="X143" s="312"/>
      <c r="Y143" s="312"/>
      <c r="Z143" s="312"/>
      <c r="AA143" s="312"/>
      <c r="AB143" s="312"/>
      <c r="AC143" s="312"/>
      <c r="AD143" s="312"/>
      <c r="AE143" s="312"/>
      <c r="AF143" s="312"/>
      <c r="AG143" s="312"/>
      <c r="AH143" s="312"/>
      <c r="AI143" s="312"/>
      <c r="AJ143" s="312"/>
      <c r="AK143" s="312"/>
      <c r="AL143" s="312"/>
      <c r="AM143" s="312"/>
      <c r="AN143" s="312"/>
      <c r="AO143" s="312"/>
      <c r="AP143" s="312"/>
      <c r="AQ143" s="312"/>
      <c r="AR143" s="312"/>
      <c r="AS143" s="312"/>
      <c r="AT143" s="314"/>
    </row>
    <row r="144" spans="1:46" ht="6.6" customHeight="1" x14ac:dyDescent="0.2">
      <c r="A144" s="396" t="s">
        <v>509</v>
      </c>
      <c r="B144" s="397"/>
      <c r="C144" s="397"/>
      <c r="D144" s="397"/>
      <c r="E144" s="397"/>
      <c r="F144" s="397"/>
      <c r="G144" s="397"/>
      <c r="H144" s="397"/>
      <c r="I144" s="397"/>
      <c r="J144" s="397"/>
      <c r="K144" s="397"/>
      <c r="L144" s="397"/>
      <c r="M144" s="397"/>
      <c r="N144" s="397"/>
      <c r="O144" s="397"/>
      <c r="P144" s="397"/>
      <c r="Q144" s="397"/>
      <c r="R144" s="397"/>
      <c r="S144" s="312"/>
      <c r="T144" s="312"/>
      <c r="U144" s="312"/>
      <c r="V144" s="312"/>
      <c r="W144" s="312"/>
      <c r="X144" s="312"/>
      <c r="Y144" s="312"/>
      <c r="Z144" s="312"/>
      <c r="AA144" s="312" t="str">
        <f>IF(AA128,ROUND((AA128-(AA132+AA136))/AA128*100,0),"")</f>
        <v/>
      </c>
      <c r="AB144" s="312"/>
      <c r="AC144" s="312"/>
      <c r="AD144" s="312"/>
      <c r="AE144" s="312"/>
      <c r="AF144" s="312" t="str">
        <f>IF(AF128,ROUND((AF128-(AF132+AF136))/AF128*100,0),"")</f>
        <v/>
      </c>
      <c r="AG144" s="312"/>
      <c r="AH144" s="312"/>
      <c r="AI144" s="312"/>
      <c r="AJ144" s="312"/>
      <c r="AK144" s="312" t="str">
        <f>IF(AK128,ROUND((AK128-(AK132+AK136))/AK128*100,0),"")</f>
        <v/>
      </c>
      <c r="AL144" s="312"/>
      <c r="AM144" s="312"/>
      <c r="AN144" s="312"/>
      <c r="AO144" s="312"/>
      <c r="AP144" s="312" t="str">
        <f>IF(AP128,ROUND((AP128-(AP132+AP136))/AP128*100,0),"")</f>
        <v/>
      </c>
      <c r="AQ144" s="312"/>
      <c r="AR144" s="312"/>
      <c r="AS144" s="312"/>
      <c r="AT144" s="314"/>
    </row>
    <row r="145" spans="1:46" ht="6.6" customHeight="1" x14ac:dyDescent="0.2">
      <c r="A145" s="398"/>
      <c r="B145" s="397"/>
      <c r="C145" s="397"/>
      <c r="D145" s="397"/>
      <c r="E145" s="397"/>
      <c r="F145" s="397"/>
      <c r="G145" s="397"/>
      <c r="H145" s="397"/>
      <c r="I145" s="397"/>
      <c r="J145" s="397"/>
      <c r="K145" s="397"/>
      <c r="L145" s="397"/>
      <c r="M145" s="397"/>
      <c r="N145" s="397"/>
      <c r="O145" s="397"/>
      <c r="P145" s="397"/>
      <c r="Q145" s="397"/>
      <c r="R145" s="397"/>
      <c r="S145" s="312"/>
      <c r="T145" s="312"/>
      <c r="U145" s="312"/>
      <c r="V145" s="312"/>
      <c r="W145" s="312"/>
      <c r="X145" s="312"/>
      <c r="Y145" s="312"/>
      <c r="Z145" s="312"/>
      <c r="AA145" s="312"/>
      <c r="AB145" s="312"/>
      <c r="AC145" s="312"/>
      <c r="AD145" s="312"/>
      <c r="AE145" s="312"/>
      <c r="AF145" s="312"/>
      <c r="AG145" s="312"/>
      <c r="AH145" s="312"/>
      <c r="AI145" s="312"/>
      <c r="AJ145" s="312"/>
      <c r="AK145" s="312"/>
      <c r="AL145" s="312"/>
      <c r="AM145" s="312"/>
      <c r="AN145" s="312"/>
      <c r="AO145" s="312"/>
      <c r="AP145" s="312"/>
      <c r="AQ145" s="312"/>
      <c r="AR145" s="312"/>
      <c r="AS145" s="312"/>
      <c r="AT145" s="314"/>
    </row>
    <row r="146" spans="1:46" ht="6.6" customHeight="1" x14ac:dyDescent="0.2">
      <c r="A146" s="398"/>
      <c r="B146" s="397"/>
      <c r="C146" s="397"/>
      <c r="D146" s="397"/>
      <c r="E146" s="397"/>
      <c r="F146" s="397"/>
      <c r="G146" s="397"/>
      <c r="H146" s="397"/>
      <c r="I146" s="397"/>
      <c r="J146" s="397"/>
      <c r="K146" s="397"/>
      <c r="L146" s="397"/>
      <c r="M146" s="397"/>
      <c r="N146" s="397"/>
      <c r="O146" s="397"/>
      <c r="P146" s="397"/>
      <c r="Q146" s="397"/>
      <c r="R146" s="397"/>
      <c r="S146" s="312"/>
      <c r="T146" s="312"/>
      <c r="U146" s="312"/>
      <c r="V146" s="312"/>
      <c r="W146" s="312"/>
      <c r="X146" s="312"/>
      <c r="Y146" s="312"/>
      <c r="Z146" s="312"/>
      <c r="AA146" s="312"/>
      <c r="AB146" s="312"/>
      <c r="AC146" s="312"/>
      <c r="AD146" s="312"/>
      <c r="AE146" s="312"/>
      <c r="AF146" s="312"/>
      <c r="AG146" s="312"/>
      <c r="AH146" s="312"/>
      <c r="AI146" s="312"/>
      <c r="AJ146" s="312"/>
      <c r="AK146" s="312"/>
      <c r="AL146" s="312"/>
      <c r="AM146" s="312"/>
      <c r="AN146" s="312"/>
      <c r="AO146" s="312"/>
      <c r="AP146" s="312"/>
      <c r="AQ146" s="312"/>
      <c r="AR146" s="312"/>
      <c r="AS146" s="312"/>
      <c r="AT146" s="314"/>
    </row>
    <row r="147" spans="1:46" ht="6.6" customHeight="1" thickBot="1" x14ac:dyDescent="0.25">
      <c r="A147" s="399"/>
      <c r="B147" s="400"/>
      <c r="C147" s="400"/>
      <c r="D147" s="400"/>
      <c r="E147" s="400"/>
      <c r="F147" s="400"/>
      <c r="G147" s="400"/>
      <c r="H147" s="400"/>
      <c r="I147" s="400"/>
      <c r="J147" s="400"/>
      <c r="K147" s="400"/>
      <c r="L147" s="400"/>
      <c r="M147" s="400"/>
      <c r="N147" s="400"/>
      <c r="O147" s="400"/>
      <c r="P147" s="400"/>
      <c r="Q147" s="400"/>
      <c r="R147" s="400"/>
      <c r="S147" s="401"/>
      <c r="T147" s="401"/>
      <c r="U147" s="401"/>
      <c r="V147" s="401"/>
      <c r="W147" s="401"/>
      <c r="X147" s="401"/>
      <c r="Y147" s="401"/>
      <c r="Z147" s="401"/>
      <c r="AA147" s="401"/>
      <c r="AB147" s="401"/>
      <c r="AC147" s="401"/>
      <c r="AD147" s="401"/>
      <c r="AE147" s="401"/>
      <c r="AF147" s="401"/>
      <c r="AG147" s="401"/>
      <c r="AH147" s="401"/>
      <c r="AI147" s="401"/>
      <c r="AJ147" s="401"/>
      <c r="AK147" s="401"/>
      <c r="AL147" s="401"/>
      <c r="AM147" s="401"/>
      <c r="AN147" s="401"/>
      <c r="AO147" s="401"/>
      <c r="AP147" s="401"/>
      <c r="AQ147" s="401"/>
      <c r="AR147" s="401"/>
      <c r="AS147" s="401"/>
      <c r="AT147" s="402"/>
    </row>
    <row r="148" spans="1:46" ht="6.6" customHeight="1" thickTop="1" x14ac:dyDescent="0.2"/>
    <row r="149" spans="1:46" ht="6.6" customHeight="1" x14ac:dyDescent="0.2"/>
    <row r="150" spans="1:46" ht="6.6" customHeight="1" x14ac:dyDescent="0.2"/>
    <row r="151" spans="1:46" ht="6.6" customHeight="1" x14ac:dyDescent="0.2"/>
    <row r="152" spans="1:46" ht="6.6" customHeight="1" x14ac:dyDescent="0.2"/>
    <row r="153" spans="1:46" ht="6.6" customHeight="1" thickBot="1" x14ac:dyDescent="0.25"/>
    <row r="154" spans="1:46" ht="6.6" customHeight="1" thickTop="1" x14ac:dyDescent="0.2">
      <c r="A154" s="300" t="s">
        <v>511</v>
      </c>
      <c r="B154" s="301"/>
      <c r="C154" s="301"/>
      <c r="D154" s="301"/>
      <c r="E154" s="301"/>
      <c r="F154" s="301"/>
      <c r="G154" s="301"/>
      <c r="H154" s="301"/>
      <c r="I154" s="301"/>
      <c r="J154" s="301"/>
      <c r="K154" s="301"/>
      <c r="L154" s="301"/>
      <c r="M154" s="301"/>
      <c r="N154" s="301"/>
      <c r="O154" s="301"/>
      <c r="P154" s="301"/>
      <c r="Q154" s="301"/>
      <c r="R154" s="301"/>
      <c r="S154" s="301"/>
      <c r="T154" s="301"/>
      <c r="U154" s="301"/>
      <c r="V154" s="301"/>
      <c r="W154" s="301"/>
      <c r="X154" s="301"/>
      <c r="Y154" s="301"/>
      <c r="Z154" s="301"/>
      <c r="AA154" s="301"/>
      <c r="AB154" s="301"/>
      <c r="AC154" s="301"/>
      <c r="AD154" s="301"/>
      <c r="AE154" s="301"/>
      <c r="AF154" s="301"/>
      <c r="AG154" s="301"/>
      <c r="AH154" s="301"/>
      <c r="AI154" s="301"/>
      <c r="AJ154" s="301"/>
      <c r="AK154" s="301"/>
      <c r="AL154" s="301"/>
      <c r="AM154" s="301"/>
      <c r="AN154" s="301"/>
      <c r="AO154" s="301"/>
      <c r="AP154" s="301"/>
      <c r="AQ154" s="301"/>
      <c r="AR154" s="301"/>
      <c r="AS154" s="301"/>
      <c r="AT154" s="302"/>
    </row>
    <row r="155" spans="1:46" ht="6.6" customHeight="1" x14ac:dyDescent="0.2">
      <c r="A155" s="303"/>
      <c r="B155" s="304"/>
      <c r="C155" s="304"/>
      <c r="D155" s="304"/>
      <c r="E155" s="304"/>
      <c r="F155" s="304"/>
      <c r="G155" s="304"/>
      <c r="H155" s="304"/>
      <c r="I155" s="304"/>
      <c r="J155" s="304"/>
      <c r="K155" s="304"/>
      <c r="L155" s="304"/>
      <c r="M155" s="304"/>
      <c r="N155" s="304"/>
      <c r="O155" s="304"/>
      <c r="P155" s="304"/>
      <c r="Q155" s="304"/>
      <c r="R155" s="304"/>
      <c r="S155" s="304"/>
      <c r="T155" s="304"/>
      <c r="U155" s="304"/>
      <c r="V155" s="304"/>
      <c r="W155" s="304"/>
      <c r="X155" s="304"/>
      <c r="Y155" s="304"/>
      <c r="Z155" s="304"/>
      <c r="AA155" s="304"/>
      <c r="AB155" s="304"/>
      <c r="AC155" s="304"/>
      <c r="AD155" s="304"/>
      <c r="AE155" s="304"/>
      <c r="AF155" s="304"/>
      <c r="AG155" s="304"/>
      <c r="AH155" s="304"/>
      <c r="AI155" s="304"/>
      <c r="AJ155" s="304"/>
      <c r="AK155" s="304"/>
      <c r="AL155" s="304"/>
      <c r="AM155" s="304"/>
      <c r="AN155" s="304"/>
      <c r="AO155" s="304"/>
      <c r="AP155" s="304"/>
      <c r="AQ155" s="304"/>
      <c r="AR155" s="304"/>
      <c r="AS155" s="304"/>
      <c r="AT155" s="305"/>
    </row>
    <row r="156" spans="1:46" ht="6.6" customHeight="1" x14ac:dyDescent="0.2">
      <c r="A156" s="303"/>
      <c r="B156" s="304"/>
      <c r="C156" s="304"/>
      <c r="D156" s="304"/>
      <c r="E156" s="304"/>
      <c r="F156" s="304"/>
      <c r="G156" s="304"/>
      <c r="H156" s="304"/>
      <c r="I156" s="304"/>
      <c r="J156" s="304"/>
      <c r="K156" s="304"/>
      <c r="L156" s="304"/>
      <c r="M156" s="304"/>
      <c r="N156" s="304"/>
      <c r="O156" s="304"/>
      <c r="P156" s="304"/>
      <c r="Q156" s="304"/>
      <c r="R156" s="304"/>
      <c r="S156" s="304"/>
      <c r="T156" s="304"/>
      <c r="U156" s="304"/>
      <c r="V156" s="304"/>
      <c r="W156" s="304"/>
      <c r="X156" s="304"/>
      <c r="Y156" s="304"/>
      <c r="Z156" s="304"/>
      <c r="AA156" s="304"/>
      <c r="AB156" s="304"/>
      <c r="AC156" s="304"/>
      <c r="AD156" s="304"/>
      <c r="AE156" s="304"/>
      <c r="AF156" s="304"/>
      <c r="AG156" s="304"/>
      <c r="AH156" s="304"/>
      <c r="AI156" s="304"/>
      <c r="AJ156" s="304"/>
      <c r="AK156" s="304"/>
      <c r="AL156" s="304"/>
      <c r="AM156" s="304"/>
      <c r="AN156" s="304"/>
      <c r="AO156" s="304"/>
      <c r="AP156" s="304"/>
      <c r="AQ156" s="304"/>
      <c r="AR156" s="304"/>
      <c r="AS156" s="304"/>
      <c r="AT156" s="305"/>
    </row>
    <row r="157" spans="1:46" ht="6.6" customHeight="1" x14ac:dyDescent="0.2">
      <c r="A157" s="303"/>
      <c r="B157" s="304"/>
      <c r="C157" s="304"/>
      <c r="D157" s="304"/>
      <c r="E157" s="304"/>
      <c r="F157" s="304"/>
      <c r="G157" s="304"/>
      <c r="H157" s="304"/>
      <c r="I157" s="304"/>
      <c r="J157" s="304"/>
      <c r="K157" s="304"/>
      <c r="L157" s="304"/>
      <c r="M157" s="304"/>
      <c r="N157" s="304"/>
      <c r="O157" s="304"/>
      <c r="P157" s="304"/>
      <c r="Q157" s="304"/>
      <c r="R157" s="304"/>
      <c r="S157" s="304"/>
      <c r="T157" s="304"/>
      <c r="U157" s="304"/>
      <c r="V157" s="304"/>
      <c r="W157" s="304"/>
      <c r="X157" s="304"/>
      <c r="Y157" s="304"/>
      <c r="Z157" s="304"/>
      <c r="AA157" s="304"/>
      <c r="AB157" s="304"/>
      <c r="AC157" s="304"/>
      <c r="AD157" s="304"/>
      <c r="AE157" s="304"/>
      <c r="AF157" s="304"/>
      <c r="AG157" s="304"/>
      <c r="AH157" s="304"/>
      <c r="AI157" s="304"/>
      <c r="AJ157" s="304"/>
      <c r="AK157" s="304"/>
      <c r="AL157" s="304"/>
      <c r="AM157" s="304"/>
      <c r="AN157" s="304"/>
      <c r="AO157" s="304"/>
      <c r="AP157" s="304"/>
      <c r="AQ157" s="304"/>
      <c r="AR157" s="304"/>
      <c r="AS157" s="304"/>
      <c r="AT157" s="305"/>
    </row>
    <row r="158" spans="1:46" ht="6.6" customHeight="1" thickBot="1" x14ac:dyDescent="0.25">
      <c r="A158" s="306"/>
      <c r="B158" s="307"/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8"/>
    </row>
    <row r="159" spans="1:46" ht="6.6" customHeight="1" thickTop="1" x14ac:dyDescent="0.2">
      <c r="A159" s="282" t="s">
        <v>504</v>
      </c>
      <c r="B159" s="280"/>
      <c r="C159" s="280"/>
      <c r="D159" s="64"/>
      <c r="E159" s="64"/>
      <c r="F159" s="315" t="s">
        <v>505</v>
      </c>
      <c r="G159" s="315"/>
      <c r="H159" s="315"/>
      <c r="I159" s="315"/>
      <c r="J159" s="315"/>
      <c r="K159" s="315"/>
      <c r="L159" s="315"/>
      <c r="M159" s="315"/>
      <c r="N159" s="315"/>
      <c r="O159" s="315"/>
      <c r="P159" s="315"/>
      <c r="Q159" s="315"/>
      <c r="R159" s="316"/>
      <c r="S159" s="309"/>
      <c r="T159" s="309"/>
      <c r="U159" s="309"/>
      <c r="V159" s="309"/>
      <c r="W159" s="309"/>
      <c r="X159" s="309"/>
      <c r="Y159" s="309"/>
      <c r="Z159" s="309"/>
      <c r="AA159" s="311">
        <v>1</v>
      </c>
      <c r="AB159" s="311"/>
      <c r="AC159" s="311"/>
      <c r="AD159" s="311"/>
      <c r="AE159" s="311"/>
      <c r="AF159" s="311">
        <v>2</v>
      </c>
      <c r="AG159" s="311"/>
      <c r="AH159" s="311"/>
      <c r="AI159" s="311"/>
      <c r="AJ159" s="311"/>
      <c r="AK159" s="311">
        <v>3</v>
      </c>
      <c r="AL159" s="311"/>
      <c r="AM159" s="311"/>
      <c r="AN159" s="311"/>
      <c r="AO159" s="311"/>
      <c r="AP159" s="311">
        <v>4</v>
      </c>
      <c r="AQ159" s="311"/>
      <c r="AR159" s="311"/>
      <c r="AS159" s="311"/>
      <c r="AT159" s="313"/>
    </row>
    <row r="160" spans="1:46" ht="6.6" customHeight="1" x14ac:dyDescent="0.2">
      <c r="A160" s="282"/>
      <c r="B160" s="280"/>
      <c r="C160" s="280"/>
      <c r="D160" s="64"/>
      <c r="E160" s="64"/>
      <c r="F160" s="315"/>
      <c r="G160" s="315"/>
      <c r="H160" s="315"/>
      <c r="I160" s="315"/>
      <c r="J160" s="315"/>
      <c r="K160" s="315"/>
      <c r="L160" s="315"/>
      <c r="M160" s="315"/>
      <c r="N160" s="315"/>
      <c r="O160" s="315"/>
      <c r="P160" s="315"/>
      <c r="Q160" s="315"/>
      <c r="R160" s="316"/>
      <c r="S160" s="310"/>
      <c r="T160" s="310"/>
      <c r="U160" s="310"/>
      <c r="V160" s="310"/>
      <c r="W160" s="310"/>
      <c r="X160" s="310"/>
      <c r="Y160" s="310"/>
      <c r="Z160" s="310"/>
      <c r="AA160" s="312"/>
      <c r="AB160" s="312"/>
      <c r="AC160" s="312"/>
      <c r="AD160" s="312"/>
      <c r="AE160" s="312"/>
      <c r="AF160" s="312"/>
      <c r="AG160" s="312"/>
      <c r="AH160" s="312"/>
      <c r="AI160" s="312"/>
      <c r="AJ160" s="312"/>
      <c r="AK160" s="312"/>
      <c r="AL160" s="312"/>
      <c r="AM160" s="312"/>
      <c r="AN160" s="312"/>
      <c r="AO160" s="312"/>
      <c r="AP160" s="312"/>
      <c r="AQ160" s="312"/>
      <c r="AR160" s="312"/>
      <c r="AS160" s="312"/>
      <c r="AT160" s="314"/>
    </row>
    <row r="161" spans="1:46" ht="6.6" customHeight="1" x14ac:dyDescent="0.2">
      <c r="A161" s="319"/>
      <c r="B161" s="291"/>
      <c r="C161" s="291"/>
      <c r="D161" s="291"/>
      <c r="E161" s="291"/>
      <c r="F161" s="315"/>
      <c r="G161" s="315"/>
      <c r="H161" s="315"/>
      <c r="I161" s="315"/>
      <c r="J161" s="315"/>
      <c r="K161" s="315"/>
      <c r="L161" s="315"/>
      <c r="M161" s="315"/>
      <c r="N161" s="315"/>
      <c r="O161" s="315"/>
      <c r="P161" s="315"/>
      <c r="Q161" s="315"/>
      <c r="R161" s="316"/>
      <c r="S161" s="310"/>
      <c r="T161" s="310"/>
      <c r="U161" s="310"/>
      <c r="V161" s="310"/>
      <c r="W161" s="310"/>
      <c r="X161" s="310"/>
      <c r="Y161" s="310"/>
      <c r="Z161" s="310"/>
      <c r="AA161" s="312"/>
      <c r="AB161" s="312"/>
      <c r="AC161" s="312"/>
      <c r="AD161" s="312"/>
      <c r="AE161" s="312"/>
      <c r="AF161" s="312"/>
      <c r="AG161" s="312"/>
      <c r="AH161" s="312"/>
      <c r="AI161" s="312"/>
      <c r="AJ161" s="312"/>
      <c r="AK161" s="312"/>
      <c r="AL161" s="312"/>
      <c r="AM161" s="312"/>
      <c r="AN161" s="312"/>
      <c r="AO161" s="312"/>
      <c r="AP161" s="312"/>
      <c r="AQ161" s="312"/>
      <c r="AR161" s="312"/>
      <c r="AS161" s="312"/>
      <c r="AT161" s="314"/>
    </row>
    <row r="162" spans="1:46" ht="6.6" customHeight="1" x14ac:dyDescent="0.2">
      <c r="A162" s="320"/>
      <c r="B162" s="321"/>
      <c r="C162" s="321"/>
      <c r="D162" s="321"/>
      <c r="E162" s="321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8"/>
      <c r="S162" s="310"/>
      <c r="T162" s="310"/>
      <c r="U162" s="310"/>
      <c r="V162" s="310"/>
      <c r="W162" s="310"/>
      <c r="X162" s="310"/>
      <c r="Y162" s="310"/>
      <c r="Z162" s="310"/>
      <c r="AA162" s="312"/>
      <c r="AB162" s="312"/>
      <c r="AC162" s="312"/>
      <c r="AD162" s="312"/>
      <c r="AE162" s="312"/>
      <c r="AF162" s="312"/>
      <c r="AG162" s="312"/>
      <c r="AH162" s="312"/>
      <c r="AI162" s="312"/>
      <c r="AJ162" s="312"/>
      <c r="AK162" s="312"/>
      <c r="AL162" s="312"/>
      <c r="AM162" s="312"/>
      <c r="AN162" s="312"/>
      <c r="AO162" s="312"/>
      <c r="AP162" s="312"/>
      <c r="AQ162" s="312"/>
      <c r="AR162" s="312"/>
      <c r="AS162" s="312"/>
      <c r="AT162" s="314"/>
    </row>
    <row r="163" spans="1:46" ht="6.6" customHeight="1" x14ac:dyDescent="0.2">
      <c r="A163" s="396" t="s">
        <v>512</v>
      </c>
      <c r="B163" s="397"/>
      <c r="C163" s="397"/>
      <c r="D163" s="397"/>
      <c r="E163" s="397"/>
      <c r="F163" s="397"/>
      <c r="G163" s="397"/>
      <c r="H163" s="397"/>
      <c r="I163" s="397"/>
      <c r="J163" s="397"/>
      <c r="K163" s="397"/>
      <c r="L163" s="397"/>
      <c r="M163" s="397"/>
      <c r="N163" s="397"/>
      <c r="O163" s="397"/>
      <c r="P163" s="397"/>
      <c r="Q163" s="397"/>
      <c r="R163" s="397"/>
      <c r="S163" s="310"/>
      <c r="T163" s="310"/>
      <c r="U163" s="310"/>
      <c r="V163" s="310"/>
      <c r="W163" s="310"/>
      <c r="X163" s="310"/>
      <c r="Y163" s="310"/>
      <c r="Z163" s="310"/>
      <c r="AA163" s="388"/>
      <c r="AB163" s="388"/>
      <c r="AC163" s="388"/>
      <c r="AD163" s="388"/>
      <c r="AE163" s="388"/>
      <c r="AF163" s="388"/>
      <c r="AG163" s="388"/>
      <c r="AH163" s="388"/>
      <c r="AI163" s="388"/>
      <c r="AJ163" s="388"/>
      <c r="AK163" s="388"/>
      <c r="AL163" s="388"/>
      <c r="AM163" s="388"/>
      <c r="AN163" s="388"/>
      <c r="AO163" s="388"/>
      <c r="AP163" s="388"/>
      <c r="AQ163" s="388"/>
      <c r="AR163" s="388"/>
      <c r="AS163" s="388"/>
      <c r="AT163" s="389"/>
    </row>
    <row r="164" spans="1:46" ht="6.6" customHeight="1" x14ac:dyDescent="0.2">
      <c r="A164" s="398"/>
      <c r="B164" s="397"/>
      <c r="C164" s="397"/>
      <c r="D164" s="397"/>
      <c r="E164" s="397"/>
      <c r="F164" s="397"/>
      <c r="G164" s="397"/>
      <c r="H164" s="397"/>
      <c r="I164" s="397"/>
      <c r="J164" s="397"/>
      <c r="K164" s="397"/>
      <c r="L164" s="397"/>
      <c r="M164" s="397"/>
      <c r="N164" s="397"/>
      <c r="O164" s="397"/>
      <c r="P164" s="397"/>
      <c r="Q164" s="397"/>
      <c r="R164" s="397"/>
      <c r="S164" s="310"/>
      <c r="T164" s="310"/>
      <c r="U164" s="310"/>
      <c r="V164" s="310"/>
      <c r="W164" s="310"/>
      <c r="X164" s="310"/>
      <c r="Y164" s="310"/>
      <c r="Z164" s="310"/>
      <c r="AA164" s="388"/>
      <c r="AB164" s="388"/>
      <c r="AC164" s="388"/>
      <c r="AD164" s="388"/>
      <c r="AE164" s="388"/>
      <c r="AF164" s="388"/>
      <c r="AG164" s="388"/>
      <c r="AH164" s="388"/>
      <c r="AI164" s="388"/>
      <c r="AJ164" s="388"/>
      <c r="AK164" s="388"/>
      <c r="AL164" s="388"/>
      <c r="AM164" s="388"/>
      <c r="AN164" s="388"/>
      <c r="AO164" s="388"/>
      <c r="AP164" s="388"/>
      <c r="AQ164" s="388"/>
      <c r="AR164" s="388"/>
      <c r="AS164" s="388"/>
      <c r="AT164" s="389"/>
    </row>
    <row r="165" spans="1:46" ht="6.6" customHeight="1" x14ac:dyDescent="0.2">
      <c r="A165" s="398"/>
      <c r="B165" s="397"/>
      <c r="C165" s="397"/>
      <c r="D165" s="397"/>
      <c r="E165" s="397"/>
      <c r="F165" s="397"/>
      <c r="G165" s="397"/>
      <c r="H165" s="397"/>
      <c r="I165" s="397"/>
      <c r="J165" s="397"/>
      <c r="K165" s="397"/>
      <c r="L165" s="397"/>
      <c r="M165" s="397"/>
      <c r="N165" s="397"/>
      <c r="O165" s="397"/>
      <c r="P165" s="397"/>
      <c r="Q165" s="397"/>
      <c r="R165" s="397"/>
      <c r="S165" s="310"/>
      <c r="T165" s="310"/>
      <c r="U165" s="310"/>
      <c r="V165" s="310"/>
      <c r="W165" s="310"/>
      <c r="X165" s="310"/>
      <c r="Y165" s="310"/>
      <c r="Z165" s="310"/>
      <c r="AA165" s="388"/>
      <c r="AB165" s="388"/>
      <c r="AC165" s="388"/>
      <c r="AD165" s="388"/>
      <c r="AE165" s="388"/>
      <c r="AF165" s="388"/>
      <c r="AG165" s="388"/>
      <c r="AH165" s="388"/>
      <c r="AI165" s="388"/>
      <c r="AJ165" s="388"/>
      <c r="AK165" s="388"/>
      <c r="AL165" s="388"/>
      <c r="AM165" s="388"/>
      <c r="AN165" s="388"/>
      <c r="AO165" s="388"/>
      <c r="AP165" s="388"/>
      <c r="AQ165" s="388"/>
      <c r="AR165" s="388"/>
      <c r="AS165" s="388"/>
      <c r="AT165" s="389"/>
    </row>
    <row r="166" spans="1:46" ht="6.6" customHeight="1" x14ac:dyDescent="0.2">
      <c r="A166" s="398"/>
      <c r="B166" s="397"/>
      <c r="C166" s="397"/>
      <c r="D166" s="397"/>
      <c r="E166" s="397"/>
      <c r="F166" s="397"/>
      <c r="G166" s="397"/>
      <c r="H166" s="397"/>
      <c r="I166" s="397"/>
      <c r="J166" s="397"/>
      <c r="K166" s="397"/>
      <c r="L166" s="397"/>
      <c r="M166" s="397"/>
      <c r="N166" s="397"/>
      <c r="O166" s="397"/>
      <c r="P166" s="397"/>
      <c r="Q166" s="397"/>
      <c r="R166" s="397"/>
      <c r="S166" s="310"/>
      <c r="T166" s="310"/>
      <c r="U166" s="310"/>
      <c r="V166" s="310"/>
      <c r="W166" s="310"/>
      <c r="X166" s="310"/>
      <c r="Y166" s="310"/>
      <c r="Z166" s="310"/>
      <c r="AA166" s="388"/>
      <c r="AB166" s="388"/>
      <c r="AC166" s="388"/>
      <c r="AD166" s="388"/>
      <c r="AE166" s="388"/>
      <c r="AF166" s="388"/>
      <c r="AG166" s="388"/>
      <c r="AH166" s="388"/>
      <c r="AI166" s="388"/>
      <c r="AJ166" s="388"/>
      <c r="AK166" s="388"/>
      <c r="AL166" s="388"/>
      <c r="AM166" s="388"/>
      <c r="AN166" s="388"/>
      <c r="AO166" s="388"/>
      <c r="AP166" s="388"/>
      <c r="AQ166" s="388"/>
      <c r="AR166" s="388"/>
      <c r="AS166" s="388"/>
      <c r="AT166" s="389"/>
    </row>
    <row r="167" spans="1:46" ht="6.6" customHeight="1" x14ac:dyDescent="0.2">
      <c r="A167" s="396" t="s">
        <v>513</v>
      </c>
      <c r="B167" s="397"/>
      <c r="C167" s="397"/>
      <c r="D167" s="397"/>
      <c r="E167" s="397"/>
      <c r="F167" s="397"/>
      <c r="G167" s="397"/>
      <c r="H167" s="397"/>
      <c r="I167" s="397"/>
      <c r="J167" s="397"/>
      <c r="K167" s="397"/>
      <c r="L167" s="397"/>
      <c r="M167" s="397"/>
      <c r="N167" s="397"/>
      <c r="O167" s="397"/>
      <c r="P167" s="397"/>
      <c r="Q167" s="397"/>
      <c r="R167" s="397"/>
      <c r="S167" s="310"/>
      <c r="T167" s="310"/>
      <c r="U167" s="310"/>
      <c r="V167" s="310"/>
      <c r="W167" s="310"/>
      <c r="X167" s="310"/>
      <c r="Y167" s="310"/>
      <c r="Z167" s="310"/>
      <c r="AA167" s="388"/>
      <c r="AB167" s="388"/>
      <c r="AC167" s="388"/>
      <c r="AD167" s="388"/>
      <c r="AE167" s="388"/>
      <c r="AF167" s="388"/>
      <c r="AG167" s="388"/>
      <c r="AH167" s="388"/>
      <c r="AI167" s="388"/>
      <c r="AJ167" s="388"/>
      <c r="AK167" s="388"/>
      <c r="AL167" s="388"/>
      <c r="AM167" s="388"/>
      <c r="AN167" s="388"/>
      <c r="AO167" s="388"/>
      <c r="AP167" s="388"/>
      <c r="AQ167" s="388"/>
      <c r="AR167" s="388"/>
      <c r="AS167" s="388"/>
      <c r="AT167" s="389"/>
    </row>
    <row r="168" spans="1:46" ht="6.6" customHeight="1" x14ac:dyDescent="0.2">
      <c r="A168" s="398"/>
      <c r="B168" s="397"/>
      <c r="C168" s="397"/>
      <c r="D168" s="397"/>
      <c r="E168" s="397"/>
      <c r="F168" s="397"/>
      <c r="G168" s="397"/>
      <c r="H168" s="397"/>
      <c r="I168" s="397"/>
      <c r="J168" s="397"/>
      <c r="K168" s="397"/>
      <c r="L168" s="397"/>
      <c r="M168" s="397"/>
      <c r="N168" s="397"/>
      <c r="O168" s="397"/>
      <c r="P168" s="397"/>
      <c r="Q168" s="397"/>
      <c r="R168" s="397"/>
      <c r="S168" s="310"/>
      <c r="T168" s="310"/>
      <c r="U168" s="310"/>
      <c r="V168" s="310"/>
      <c r="W168" s="310"/>
      <c r="X168" s="310"/>
      <c r="Y168" s="310"/>
      <c r="Z168" s="310"/>
      <c r="AA168" s="388"/>
      <c r="AB168" s="388"/>
      <c r="AC168" s="388"/>
      <c r="AD168" s="388"/>
      <c r="AE168" s="388"/>
      <c r="AF168" s="388"/>
      <c r="AG168" s="388"/>
      <c r="AH168" s="388"/>
      <c r="AI168" s="388"/>
      <c r="AJ168" s="388"/>
      <c r="AK168" s="388"/>
      <c r="AL168" s="388"/>
      <c r="AM168" s="388"/>
      <c r="AN168" s="388"/>
      <c r="AO168" s="388"/>
      <c r="AP168" s="388"/>
      <c r="AQ168" s="388"/>
      <c r="AR168" s="388"/>
      <c r="AS168" s="388"/>
      <c r="AT168" s="389"/>
    </row>
    <row r="169" spans="1:46" ht="6.6" customHeight="1" x14ac:dyDescent="0.2">
      <c r="A169" s="398"/>
      <c r="B169" s="397"/>
      <c r="C169" s="397"/>
      <c r="D169" s="397"/>
      <c r="E169" s="397"/>
      <c r="F169" s="397"/>
      <c r="G169" s="397"/>
      <c r="H169" s="397"/>
      <c r="I169" s="397"/>
      <c r="J169" s="397"/>
      <c r="K169" s="397"/>
      <c r="L169" s="397"/>
      <c r="M169" s="397"/>
      <c r="N169" s="397"/>
      <c r="O169" s="397"/>
      <c r="P169" s="397"/>
      <c r="Q169" s="397"/>
      <c r="R169" s="397"/>
      <c r="S169" s="310"/>
      <c r="T169" s="310"/>
      <c r="U169" s="310"/>
      <c r="V169" s="310"/>
      <c r="W169" s="310"/>
      <c r="X169" s="310"/>
      <c r="Y169" s="310"/>
      <c r="Z169" s="310"/>
      <c r="AA169" s="388"/>
      <c r="AB169" s="388"/>
      <c r="AC169" s="388"/>
      <c r="AD169" s="388"/>
      <c r="AE169" s="388"/>
      <c r="AF169" s="388"/>
      <c r="AG169" s="388"/>
      <c r="AH169" s="388"/>
      <c r="AI169" s="388"/>
      <c r="AJ169" s="388"/>
      <c r="AK169" s="388"/>
      <c r="AL169" s="388"/>
      <c r="AM169" s="388"/>
      <c r="AN169" s="388"/>
      <c r="AO169" s="388"/>
      <c r="AP169" s="388"/>
      <c r="AQ169" s="388"/>
      <c r="AR169" s="388"/>
      <c r="AS169" s="388"/>
      <c r="AT169" s="389"/>
    </row>
    <row r="170" spans="1:46" ht="6.6" customHeight="1" x14ac:dyDescent="0.2">
      <c r="A170" s="398"/>
      <c r="B170" s="397"/>
      <c r="C170" s="397"/>
      <c r="D170" s="397"/>
      <c r="E170" s="397"/>
      <c r="F170" s="397"/>
      <c r="G170" s="397"/>
      <c r="H170" s="397"/>
      <c r="I170" s="397"/>
      <c r="J170" s="397"/>
      <c r="K170" s="397"/>
      <c r="L170" s="397"/>
      <c r="M170" s="397"/>
      <c r="N170" s="397"/>
      <c r="O170" s="397"/>
      <c r="P170" s="397"/>
      <c r="Q170" s="397"/>
      <c r="R170" s="397"/>
      <c r="S170" s="310"/>
      <c r="T170" s="310"/>
      <c r="U170" s="310"/>
      <c r="V170" s="310"/>
      <c r="W170" s="310"/>
      <c r="X170" s="310"/>
      <c r="Y170" s="310"/>
      <c r="Z170" s="310"/>
      <c r="AA170" s="388"/>
      <c r="AB170" s="388"/>
      <c r="AC170" s="388"/>
      <c r="AD170" s="388"/>
      <c r="AE170" s="388"/>
      <c r="AF170" s="388"/>
      <c r="AG170" s="388"/>
      <c r="AH170" s="388"/>
      <c r="AI170" s="388"/>
      <c r="AJ170" s="388"/>
      <c r="AK170" s="388"/>
      <c r="AL170" s="388"/>
      <c r="AM170" s="388"/>
      <c r="AN170" s="388"/>
      <c r="AO170" s="388"/>
      <c r="AP170" s="388"/>
      <c r="AQ170" s="388"/>
      <c r="AR170" s="388"/>
      <c r="AS170" s="388"/>
      <c r="AT170" s="389"/>
    </row>
    <row r="171" spans="1:46" ht="6.6" customHeight="1" x14ac:dyDescent="0.2">
      <c r="A171" s="396" t="s">
        <v>514</v>
      </c>
      <c r="B171" s="397"/>
      <c r="C171" s="397"/>
      <c r="D171" s="397"/>
      <c r="E171" s="397"/>
      <c r="F171" s="397"/>
      <c r="G171" s="397"/>
      <c r="H171" s="397"/>
      <c r="I171" s="397"/>
      <c r="J171" s="397"/>
      <c r="K171" s="397"/>
      <c r="L171" s="397"/>
      <c r="M171" s="397"/>
      <c r="N171" s="397"/>
      <c r="O171" s="397"/>
      <c r="P171" s="397"/>
      <c r="Q171" s="397"/>
      <c r="R171" s="397"/>
      <c r="S171" s="403" t="s">
        <v>516</v>
      </c>
      <c r="T171" s="404"/>
      <c r="U171" s="404"/>
      <c r="V171" s="404"/>
      <c r="W171" s="404"/>
      <c r="X171" s="404"/>
      <c r="Y171" s="404"/>
      <c r="Z171" s="405"/>
      <c r="AA171" s="312" t="str">
        <f>IF(AA163,AA163-AA167,"")</f>
        <v/>
      </c>
      <c r="AB171" s="312"/>
      <c r="AC171" s="312"/>
      <c r="AD171" s="312"/>
      <c r="AE171" s="312"/>
      <c r="AF171" s="312" t="str">
        <f>IF(AF163,AF163-AF167,"")</f>
        <v/>
      </c>
      <c r="AG171" s="312"/>
      <c r="AH171" s="312"/>
      <c r="AI171" s="312"/>
      <c r="AJ171" s="312"/>
      <c r="AK171" s="312" t="str">
        <f>IF(AK163,AK163-AK167,"")</f>
        <v/>
      </c>
      <c r="AL171" s="312"/>
      <c r="AM171" s="312"/>
      <c r="AN171" s="312"/>
      <c r="AO171" s="312"/>
      <c r="AP171" s="312" t="str">
        <f>IF(AP163,AP163-AP167,"")</f>
        <v/>
      </c>
      <c r="AQ171" s="312"/>
      <c r="AR171" s="312"/>
      <c r="AS171" s="312"/>
      <c r="AT171" s="314"/>
    </row>
    <row r="172" spans="1:46" ht="6.6" customHeight="1" x14ac:dyDescent="0.2">
      <c r="A172" s="398"/>
      <c r="B172" s="397"/>
      <c r="C172" s="397"/>
      <c r="D172" s="397"/>
      <c r="E172" s="397"/>
      <c r="F172" s="397"/>
      <c r="G172" s="397"/>
      <c r="H172" s="397"/>
      <c r="I172" s="397"/>
      <c r="J172" s="397"/>
      <c r="K172" s="397"/>
      <c r="L172" s="397"/>
      <c r="M172" s="397"/>
      <c r="N172" s="397"/>
      <c r="O172" s="397"/>
      <c r="P172" s="397"/>
      <c r="Q172" s="397"/>
      <c r="R172" s="397"/>
      <c r="S172" s="406"/>
      <c r="T172" s="407"/>
      <c r="U172" s="407"/>
      <c r="V172" s="407"/>
      <c r="W172" s="407"/>
      <c r="X172" s="407"/>
      <c r="Y172" s="407"/>
      <c r="Z172" s="408"/>
      <c r="AA172" s="312"/>
      <c r="AB172" s="312"/>
      <c r="AC172" s="312"/>
      <c r="AD172" s="312"/>
      <c r="AE172" s="312"/>
      <c r="AF172" s="312"/>
      <c r="AG172" s="312"/>
      <c r="AH172" s="312"/>
      <c r="AI172" s="312"/>
      <c r="AJ172" s="312"/>
      <c r="AK172" s="312"/>
      <c r="AL172" s="312"/>
      <c r="AM172" s="312"/>
      <c r="AN172" s="312"/>
      <c r="AO172" s="312"/>
      <c r="AP172" s="312"/>
      <c r="AQ172" s="312"/>
      <c r="AR172" s="312"/>
      <c r="AS172" s="312"/>
      <c r="AT172" s="314"/>
    </row>
    <row r="173" spans="1:46" ht="6.6" customHeight="1" x14ac:dyDescent="0.2">
      <c r="A173" s="398"/>
      <c r="B173" s="397"/>
      <c r="C173" s="397"/>
      <c r="D173" s="397"/>
      <c r="E173" s="397"/>
      <c r="F173" s="397"/>
      <c r="G173" s="397"/>
      <c r="H173" s="397"/>
      <c r="I173" s="397"/>
      <c r="J173" s="397"/>
      <c r="K173" s="397"/>
      <c r="L173" s="397"/>
      <c r="M173" s="397"/>
      <c r="N173" s="397"/>
      <c r="O173" s="397"/>
      <c r="P173" s="397"/>
      <c r="Q173" s="397"/>
      <c r="R173" s="397"/>
      <c r="S173" s="406"/>
      <c r="T173" s="407"/>
      <c r="U173" s="407"/>
      <c r="V173" s="407"/>
      <c r="W173" s="407"/>
      <c r="X173" s="407"/>
      <c r="Y173" s="407"/>
      <c r="Z173" s="408"/>
      <c r="AA173" s="312"/>
      <c r="AB173" s="312"/>
      <c r="AC173" s="312"/>
      <c r="AD173" s="312"/>
      <c r="AE173" s="312"/>
      <c r="AF173" s="312"/>
      <c r="AG173" s="312"/>
      <c r="AH173" s="312"/>
      <c r="AI173" s="312"/>
      <c r="AJ173" s="312"/>
      <c r="AK173" s="312"/>
      <c r="AL173" s="312"/>
      <c r="AM173" s="312"/>
      <c r="AN173" s="312"/>
      <c r="AO173" s="312"/>
      <c r="AP173" s="312"/>
      <c r="AQ173" s="312"/>
      <c r="AR173" s="312"/>
      <c r="AS173" s="312"/>
      <c r="AT173" s="314"/>
    </row>
    <row r="174" spans="1:46" ht="6.6" customHeight="1" x14ac:dyDescent="0.2">
      <c r="A174" s="398"/>
      <c r="B174" s="397"/>
      <c r="C174" s="397"/>
      <c r="D174" s="397"/>
      <c r="E174" s="397"/>
      <c r="F174" s="397"/>
      <c r="G174" s="397"/>
      <c r="H174" s="397"/>
      <c r="I174" s="397"/>
      <c r="J174" s="397"/>
      <c r="K174" s="397"/>
      <c r="L174" s="397"/>
      <c r="M174" s="397"/>
      <c r="N174" s="397"/>
      <c r="O174" s="397"/>
      <c r="P174" s="397"/>
      <c r="Q174" s="397"/>
      <c r="R174" s="397"/>
      <c r="S174" s="409"/>
      <c r="T174" s="410"/>
      <c r="U174" s="410"/>
      <c r="V174" s="410"/>
      <c r="W174" s="410"/>
      <c r="X174" s="410"/>
      <c r="Y174" s="410"/>
      <c r="Z174" s="411"/>
      <c r="AA174" s="312"/>
      <c r="AB174" s="312"/>
      <c r="AC174" s="312"/>
      <c r="AD174" s="312"/>
      <c r="AE174" s="312"/>
      <c r="AF174" s="312"/>
      <c r="AG174" s="312"/>
      <c r="AH174" s="312"/>
      <c r="AI174" s="312"/>
      <c r="AJ174" s="312"/>
      <c r="AK174" s="312"/>
      <c r="AL174" s="312"/>
      <c r="AM174" s="312"/>
      <c r="AN174" s="312"/>
      <c r="AO174" s="312"/>
      <c r="AP174" s="312"/>
      <c r="AQ174" s="312"/>
      <c r="AR174" s="312"/>
      <c r="AS174" s="312"/>
      <c r="AT174" s="314"/>
    </row>
    <row r="175" spans="1:46" ht="6.6" customHeight="1" x14ac:dyDescent="0.2">
      <c r="A175" s="396" t="s">
        <v>515</v>
      </c>
      <c r="B175" s="397"/>
      <c r="C175" s="397"/>
      <c r="D175" s="397"/>
      <c r="E175" s="397"/>
      <c r="F175" s="397"/>
      <c r="G175" s="397"/>
      <c r="H175" s="397"/>
      <c r="I175" s="397"/>
      <c r="J175" s="397"/>
      <c r="K175" s="397"/>
      <c r="L175" s="397"/>
      <c r="M175" s="397"/>
      <c r="N175" s="397"/>
      <c r="O175" s="397"/>
      <c r="P175" s="397"/>
      <c r="Q175" s="397"/>
      <c r="R175" s="397"/>
      <c r="S175" s="312"/>
      <c r="T175" s="312"/>
      <c r="U175" s="312"/>
      <c r="V175" s="312"/>
      <c r="W175" s="312"/>
      <c r="X175" s="312"/>
      <c r="Y175" s="312"/>
      <c r="Z175" s="312"/>
      <c r="AA175" s="312" t="str">
        <f>IF(AA167,ROUND(100*AA171/AA167,0),"")</f>
        <v/>
      </c>
      <c r="AB175" s="312"/>
      <c r="AC175" s="312"/>
      <c r="AD175" s="312"/>
      <c r="AE175" s="312"/>
      <c r="AF175" s="312" t="str">
        <f>IF(AF167,ROUND(100*AF171/AF167,0),"")</f>
        <v/>
      </c>
      <c r="AG175" s="312"/>
      <c r="AH175" s="312"/>
      <c r="AI175" s="312"/>
      <c r="AJ175" s="312"/>
      <c r="AK175" s="312" t="str">
        <f>IF(AK167,ROUND(100*AK171/AK167,0),"")</f>
        <v/>
      </c>
      <c r="AL175" s="312"/>
      <c r="AM175" s="312"/>
      <c r="AN175" s="312"/>
      <c r="AO175" s="312"/>
      <c r="AP175" s="312" t="str">
        <f>IF(AP167,ROUND(100*AP171/AP167,0),"")</f>
        <v/>
      </c>
      <c r="AQ175" s="312"/>
      <c r="AR175" s="312"/>
      <c r="AS175" s="312"/>
      <c r="AT175" s="314"/>
    </row>
    <row r="176" spans="1:46" ht="6.6" customHeight="1" x14ac:dyDescent="0.2">
      <c r="A176" s="398"/>
      <c r="B176" s="397"/>
      <c r="C176" s="397"/>
      <c r="D176" s="397"/>
      <c r="E176" s="397"/>
      <c r="F176" s="397"/>
      <c r="G176" s="397"/>
      <c r="H176" s="397"/>
      <c r="I176" s="397"/>
      <c r="J176" s="397"/>
      <c r="K176" s="397"/>
      <c r="L176" s="397"/>
      <c r="M176" s="397"/>
      <c r="N176" s="397"/>
      <c r="O176" s="397"/>
      <c r="P176" s="397"/>
      <c r="Q176" s="397"/>
      <c r="R176" s="397"/>
      <c r="S176" s="312"/>
      <c r="T176" s="312"/>
      <c r="U176" s="312"/>
      <c r="V176" s="312"/>
      <c r="W176" s="312"/>
      <c r="X176" s="312"/>
      <c r="Y176" s="312"/>
      <c r="Z176" s="312"/>
      <c r="AA176" s="312"/>
      <c r="AB176" s="312"/>
      <c r="AC176" s="312"/>
      <c r="AD176" s="312"/>
      <c r="AE176" s="312"/>
      <c r="AF176" s="312"/>
      <c r="AG176" s="312"/>
      <c r="AH176" s="312"/>
      <c r="AI176" s="312"/>
      <c r="AJ176" s="312"/>
      <c r="AK176" s="312"/>
      <c r="AL176" s="312"/>
      <c r="AM176" s="312"/>
      <c r="AN176" s="312"/>
      <c r="AO176" s="312"/>
      <c r="AP176" s="312"/>
      <c r="AQ176" s="312"/>
      <c r="AR176" s="312"/>
      <c r="AS176" s="312"/>
      <c r="AT176" s="314"/>
    </row>
    <row r="177" spans="1:46" ht="6.6" customHeight="1" x14ac:dyDescent="0.2">
      <c r="A177" s="398"/>
      <c r="B177" s="397"/>
      <c r="C177" s="397"/>
      <c r="D177" s="397"/>
      <c r="E177" s="397"/>
      <c r="F177" s="397"/>
      <c r="G177" s="397"/>
      <c r="H177" s="397"/>
      <c r="I177" s="397"/>
      <c r="J177" s="397"/>
      <c r="K177" s="397"/>
      <c r="L177" s="397"/>
      <c r="M177" s="397"/>
      <c r="N177" s="397"/>
      <c r="O177" s="397"/>
      <c r="P177" s="397"/>
      <c r="Q177" s="397"/>
      <c r="R177" s="397"/>
      <c r="S177" s="312"/>
      <c r="T177" s="312"/>
      <c r="U177" s="312"/>
      <c r="V177" s="312"/>
      <c r="W177" s="312"/>
      <c r="X177" s="312"/>
      <c r="Y177" s="312"/>
      <c r="Z177" s="312"/>
      <c r="AA177" s="312"/>
      <c r="AB177" s="312"/>
      <c r="AC177" s="312"/>
      <c r="AD177" s="312"/>
      <c r="AE177" s="312"/>
      <c r="AF177" s="312"/>
      <c r="AG177" s="312"/>
      <c r="AH177" s="312"/>
      <c r="AI177" s="312"/>
      <c r="AJ177" s="312"/>
      <c r="AK177" s="312"/>
      <c r="AL177" s="312"/>
      <c r="AM177" s="312"/>
      <c r="AN177" s="312"/>
      <c r="AO177" s="312"/>
      <c r="AP177" s="312"/>
      <c r="AQ177" s="312"/>
      <c r="AR177" s="312"/>
      <c r="AS177" s="312"/>
      <c r="AT177" s="314"/>
    </row>
    <row r="178" spans="1:46" ht="6.6" customHeight="1" thickBot="1" x14ac:dyDescent="0.25">
      <c r="A178" s="399"/>
      <c r="B178" s="400"/>
      <c r="C178" s="400"/>
      <c r="D178" s="400"/>
      <c r="E178" s="400"/>
      <c r="F178" s="400"/>
      <c r="G178" s="400"/>
      <c r="H178" s="400"/>
      <c r="I178" s="400"/>
      <c r="J178" s="400"/>
      <c r="K178" s="400"/>
      <c r="L178" s="400"/>
      <c r="M178" s="400"/>
      <c r="N178" s="400"/>
      <c r="O178" s="400"/>
      <c r="P178" s="400"/>
      <c r="Q178" s="400"/>
      <c r="R178" s="400"/>
      <c r="S178" s="401"/>
      <c r="T178" s="401"/>
      <c r="U178" s="401"/>
      <c r="V178" s="401"/>
      <c r="W178" s="401"/>
      <c r="X178" s="401"/>
      <c r="Y178" s="401"/>
      <c r="Z178" s="401"/>
      <c r="AA178" s="401"/>
      <c r="AB178" s="401"/>
      <c r="AC178" s="401"/>
      <c r="AD178" s="401"/>
      <c r="AE178" s="401"/>
      <c r="AF178" s="401"/>
      <c r="AG178" s="401"/>
      <c r="AH178" s="401"/>
      <c r="AI178" s="401"/>
      <c r="AJ178" s="401"/>
      <c r="AK178" s="401"/>
      <c r="AL178" s="401"/>
      <c r="AM178" s="401"/>
      <c r="AN178" s="401"/>
      <c r="AO178" s="401"/>
      <c r="AP178" s="401"/>
      <c r="AQ178" s="401"/>
      <c r="AR178" s="401"/>
      <c r="AS178" s="401"/>
      <c r="AT178" s="402"/>
    </row>
    <row r="179" spans="1:46" ht="6.6" customHeight="1" thickTop="1" x14ac:dyDescent="0.2"/>
    <row r="180" spans="1:46" ht="6.6" customHeight="1" x14ac:dyDescent="0.2"/>
    <row r="181" spans="1:46" ht="6.6" customHeight="1" x14ac:dyDescent="0.2"/>
    <row r="182" spans="1:46" ht="6.6" customHeight="1" x14ac:dyDescent="0.2"/>
    <row r="183" spans="1:46" ht="6.6" customHeight="1" x14ac:dyDescent="0.2"/>
    <row r="184" spans="1:46" ht="6.6" customHeight="1" thickBot="1" x14ac:dyDescent="0.25"/>
    <row r="185" spans="1:46" ht="6.6" customHeight="1" thickTop="1" x14ac:dyDescent="0.2">
      <c r="A185" s="439" t="s">
        <v>517</v>
      </c>
      <c r="B185" s="301"/>
      <c r="C185" s="301"/>
      <c r="D185" s="301"/>
      <c r="E185" s="301"/>
      <c r="F185" s="301"/>
      <c r="G185" s="301"/>
      <c r="H185" s="301"/>
      <c r="I185" s="301"/>
      <c r="J185" s="301"/>
      <c r="K185" s="301"/>
      <c r="L185" s="301"/>
      <c r="M185" s="301"/>
      <c r="N185" s="301"/>
      <c r="O185" s="301"/>
      <c r="P185" s="301"/>
      <c r="Q185" s="301"/>
      <c r="R185" s="301"/>
      <c r="S185" s="301"/>
      <c r="T185" s="301"/>
      <c r="U185" s="301"/>
      <c r="V185" s="301"/>
      <c r="W185" s="301"/>
      <c r="X185" s="301"/>
      <c r="Y185" s="301"/>
      <c r="Z185" s="301"/>
      <c r="AA185" s="301"/>
      <c r="AB185" s="301"/>
      <c r="AC185" s="301"/>
      <c r="AD185" s="301"/>
      <c r="AE185" s="301"/>
      <c r="AF185" s="301"/>
      <c r="AG185" s="301"/>
      <c r="AH185" s="301"/>
      <c r="AI185" s="301"/>
      <c r="AJ185" s="301"/>
      <c r="AK185" s="301"/>
      <c r="AL185" s="301"/>
      <c r="AM185" s="301"/>
      <c r="AN185" s="301"/>
      <c r="AO185" s="301"/>
      <c r="AP185" s="301"/>
      <c r="AQ185" s="301"/>
      <c r="AR185" s="301"/>
      <c r="AS185" s="301"/>
      <c r="AT185" s="302"/>
    </row>
    <row r="186" spans="1:46" ht="6.6" customHeight="1" x14ac:dyDescent="0.2">
      <c r="A186" s="303"/>
      <c r="B186" s="304"/>
      <c r="C186" s="304"/>
      <c r="D186" s="304"/>
      <c r="E186" s="304"/>
      <c r="F186" s="304"/>
      <c r="G186" s="304"/>
      <c r="H186" s="304"/>
      <c r="I186" s="304"/>
      <c r="J186" s="304"/>
      <c r="K186" s="304"/>
      <c r="L186" s="304"/>
      <c r="M186" s="304"/>
      <c r="N186" s="304"/>
      <c r="O186" s="304"/>
      <c r="P186" s="304"/>
      <c r="Q186" s="304"/>
      <c r="R186" s="304"/>
      <c r="S186" s="304"/>
      <c r="T186" s="304"/>
      <c r="U186" s="304"/>
      <c r="V186" s="304"/>
      <c r="W186" s="304"/>
      <c r="X186" s="304"/>
      <c r="Y186" s="304"/>
      <c r="Z186" s="304"/>
      <c r="AA186" s="304"/>
      <c r="AB186" s="304"/>
      <c r="AC186" s="304"/>
      <c r="AD186" s="304"/>
      <c r="AE186" s="304"/>
      <c r="AF186" s="304"/>
      <c r="AG186" s="304"/>
      <c r="AH186" s="304"/>
      <c r="AI186" s="304"/>
      <c r="AJ186" s="304"/>
      <c r="AK186" s="304"/>
      <c r="AL186" s="304"/>
      <c r="AM186" s="304"/>
      <c r="AN186" s="304"/>
      <c r="AO186" s="304"/>
      <c r="AP186" s="304"/>
      <c r="AQ186" s="304"/>
      <c r="AR186" s="304"/>
      <c r="AS186" s="304"/>
      <c r="AT186" s="305"/>
    </row>
    <row r="187" spans="1:46" ht="6.6" customHeight="1" x14ac:dyDescent="0.2">
      <c r="A187" s="303"/>
      <c r="B187" s="304"/>
      <c r="C187" s="304"/>
      <c r="D187" s="304"/>
      <c r="E187" s="304"/>
      <c r="F187" s="304"/>
      <c r="G187" s="304"/>
      <c r="H187" s="304"/>
      <c r="I187" s="304"/>
      <c r="J187" s="304"/>
      <c r="K187" s="304"/>
      <c r="L187" s="304"/>
      <c r="M187" s="304"/>
      <c r="N187" s="304"/>
      <c r="O187" s="304"/>
      <c r="P187" s="304"/>
      <c r="Q187" s="304"/>
      <c r="R187" s="304"/>
      <c r="S187" s="304"/>
      <c r="T187" s="304"/>
      <c r="U187" s="304"/>
      <c r="V187" s="304"/>
      <c r="W187" s="304"/>
      <c r="X187" s="304"/>
      <c r="Y187" s="304"/>
      <c r="Z187" s="304"/>
      <c r="AA187" s="304"/>
      <c r="AB187" s="304"/>
      <c r="AC187" s="304"/>
      <c r="AD187" s="304"/>
      <c r="AE187" s="304"/>
      <c r="AF187" s="304"/>
      <c r="AG187" s="304"/>
      <c r="AH187" s="304"/>
      <c r="AI187" s="304"/>
      <c r="AJ187" s="304"/>
      <c r="AK187" s="304"/>
      <c r="AL187" s="304"/>
      <c r="AM187" s="304"/>
      <c r="AN187" s="304"/>
      <c r="AO187" s="304"/>
      <c r="AP187" s="304"/>
      <c r="AQ187" s="304"/>
      <c r="AR187" s="304"/>
      <c r="AS187" s="304"/>
      <c r="AT187" s="305"/>
    </row>
    <row r="188" spans="1:46" ht="6.6" customHeight="1" x14ac:dyDescent="0.2">
      <c r="A188" s="303"/>
      <c r="B188" s="304"/>
      <c r="C188" s="304"/>
      <c r="D188" s="304"/>
      <c r="E188" s="304"/>
      <c r="F188" s="304"/>
      <c r="G188" s="304"/>
      <c r="H188" s="304"/>
      <c r="I188" s="304"/>
      <c r="J188" s="304"/>
      <c r="K188" s="304"/>
      <c r="L188" s="304"/>
      <c r="M188" s="304"/>
      <c r="N188" s="304"/>
      <c r="O188" s="304"/>
      <c r="P188" s="304"/>
      <c r="Q188" s="304"/>
      <c r="R188" s="304"/>
      <c r="S188" s="304"/>
      <c r="T188" s="304"/>
      <c r="U188" s="304"/>
      <c r="V188" s="304"/>
      <c r="W188" s="304"/>
      <c r="X188" s="304"/>
      <c r="Y188" s="304"/>
      <c r="Z188" s="304"/>
      <c r="AA188" s="304"/>
      <c r="AB188" s="304"/>
      <c r="AC188" s="304"/>
      <c r="AD188" s="304"/>
      <c r="AE188" s="304"/>
      <c r="AF188" s="304"/>
      <c r="AG188" s="304"/>
      <c r="AH188" s="304"/>
      <c r="AI188" s="304"/>
      <c r="AJ188" s="304"/>
      <c r="AK188" s="304"/>
      <c r="AL188" s="304"/>
      <c r="AM188" s="304"/>
      <c r="AN188" s="304"/>
      <c r="AO188" s="304"/>
      <c r="AP188" s="304"/>
      <c r="AQ188" s="304"/>
      <c r="AR188" s="304"/>
      <c r="AS188" s="304"/>
      <c r="AT188" s="305"/>
    </row>
    <row r="189" spans="1:46" ht="6.6" customHeight="1" x14ac:dyDescent="0.2">
      <c r="A189" s="303"/>
      <c r="B189" s="304"/>
      <c r="C189" s="304"/>
      <c r="D189" s="304"/>
      <c r="E189" s="304"/>
      <c r="F189" s="304"/>
      <c r="G189" s="304"/>
      <c r="H189" s="304"/>
      <c r="I189" s="304"/>
      <c r="J189" s="304"/>
      <c r="K189" s="304"/>
      <c r="L189" s="304"/>
      <c r="M189" s="304"/>
      <c r="N189" s="304"/>
      <c r="O189" s="304"/>
      <c r="P189" s="304"/>
      <c r="Q189" s="304"/>
      <c r="R189" s="304"/>
      <c r="S189" s="304"/>
      <c r="T189" s="304"/>
      <c r="U189" s="304"/>
      <c r="V189" s="304"/>
      <c r="W189" s="304"/>
      <c r="X189" s="304"/>
      <c r="Y189" s="304"/>
      <c r="Z189" s="304"/>
      <c r="AA189" s="304"/>
      <c r="AB189" s="304"/>
      <c r="AC189" s="304"/>
      <c r="AD189" s="304"/>
      <c r="AE189" s="304"/>
      <c r="AF189" s="304"/>
      <c r="AG189" s="304"/>
      <c r="AH189" s="304"/>
      <c r="AI189" s="304"/>
      <c r="AJ189" s="304"/>
      <c r="AK189" s="304"/>
      <c r="AL189" s="304"/>
      <c r="AM189" s="304"/>
      <c r="AN189" s="304"/>
      <c r="AO189" s="304"/>
      <c r="AP189" s="304"/>
      <c r="AQ189" s="304"/>
      <c r="AR189" s="304"/>
      <c r="AS189" s="304"/>
      <c r="AT189" s="305"/>
    </row>
    <row r="190" spans="1:46" ht="6.6" customHeight="1" x14ac:dyDescent="0.2">
      <c r="A190" s="303"/>
      <c r="B190" s="304"/>
      <c r="C190" s="304"/>
      <c r="D190" s="304"/>
      <c r="E190" s="304"/>
      <c r="F190" s="304"/>
      <c r="G190" s="304"/>
      <c r="H190" s="304"/>
      <c r="I190" s="304"/>
      <c r="J190" s="304"/>
      <c r="K190" s="304"/>
      <c r="L190" s="304"/>
      <c r="M190" s="304"/>
      <c r="N190" s="304"/>
      <c r="O190" s="304"/>
      <c r="P190" s="304"/>
      <c r="Q190" s="304"/>
      <c r="R190" s="304"/>
      <c r="S190" s="304"/>
      <c r="T190" s="304"/>
      <c r="U190" s="304"/>
      <c r="V190" s="304"/>
      <c r="W190" s="304"/>
      <c r="X190" s="304"/>
      <c r="Y190" s="304"/>
      <c r="Z190" s="304"/>
      <c r="AA190" s="304"/>
      <c r="AB190" s="304"/>
      <c r="AC190" s="304"/>
      <c r="AD190" s="304"/>
      <c r="AE190" s="304"/>
      <c r="AF190" s="304"/>
      <c r="AG190" s="304"/>
      <c r="AH190" s="304"/>
      <c r="AI190" s="304"/>
      <c r="AJ190" s="304"/>
      <c r="AK190" s="304"/>
      <c r="AL190" s="304"/>
      <c r="AM190" s="304"/>
      <c r="AN190" s="304"/>
      <c r="AO190" s="304"/>
      <c r="AP190" s="304"/>
      <c r="AQ190" s="304"/>
      <c r="AR190" s="304"/>
      <c r="AS190" s="304"/>
      <c r="AT190" s="305"/>
    </row>
    <row r="191" spans="1:46" ht="6.6" customHeight="1" x14ac:dyDescent="0.2">
      <c r="A191" s="303"/>
      <c r="B191" s="304"/>
      <c r="C191" s="304"/>
      <c r="D191" s="304"/>
      <c r="E191" s="304"/>
      <c r="F191" s="304"/>
      <c r="G191" s="304"/>
      <c r="H191" s="304"/>
      <c r="I191" s="304"/>
      <c r="J191" s="304"/>
      <c r="K191" s="304"/>
      <c r="L191" s="304"/>
      <c r="M191" s="304"/>
      <c r="N191" s="304"/>
      <c r="O191" s="304"/>
      <c r="P191" s="304"/>
      <c r="Q191" s="304"/>
      <c r="R191" s="304"/>
      <c r="S191" s="304"/>
      <c r="T191" s="304"/>
      <c r="U191" s="304"/>
      <c r="V191" s="304"/>
      <c r="W191" s="304"/>
      <c r="X191" s="304"/>
      <c r="Y191" s="304"/>
      <c r="Z191" s="304"/>
      <c r="AA191" s="304"/>
      <c r="AB191" s="304"/>
      <c r="AC191" s="304"/>
      <c r="AD191" s="304"/>
      <c r="AE191" s="304"/>
      <c r="AF191" s="304"/>
      <c r="AG191" s="304"/>
      <c r="AH191" s="304"/>
      <c r="AI191" s="304"/>
      <c r="AJ191" s="304"/>
      <c r="AK191" s="304"/>
      <c r="AL191" s="304"/>
      <c r="AM191" s="304"/>
      <c r="AN191" s="304"/>
      <c r="AO191" s="304"/>
      <c r="AP191" s="304"/>
      <c r="AQ191" s="304"/>
      <c r="AR191" s="304"/>
      <c r="AS191" s="304"/>
      <c r="AT191" s="305"/>
    </row>
    <row r="192" spans="1:46" ht="6.6" customHeight="1" thickBot="1" x14ac:dyDescent="0.25">
      <c r="A192" s="306"/>
      <c r="B192" s="307"/>
      <c r="C192" s="307"/>
      <c r="D192" s="307"/>
      <c r="E192" s="307"/>
      <c r="F192" s="307"/>
      <c r="G192" s="307"/>
      <c r="H192" s="307"/>
      <c r="I192" s="307"/>
      <c r="J192" s="307"/>
      <c r="K192" s="307"/>
      <c r="L192" s="307"/>
      <c r="M192" s="307"/>
      <c r="N192" s="307"/>
      <c r="O192" s="307"/>
      <c r="P192" s="307"/>
      <c r="Q192" s="307"/>
      <c r="R192" s="307"/>
      <c r="S192" s="307"/>
      <c r="T192" s="307"/>
      <c r="U192" s="307"/>
      <c r="V192" s="307"/>
      <c r="W192" s="307"/>
      <c r="X192" s="307"/>
      <c r="Y192" s="307"/>
      <c r="Z192" s="307"/>
      <c r="AA192" s="307"/>
      <c r="AB192" s="307"/>
      <c r="AC192" s="307"/>
      <c r="AD192" s="307"/>
      <c r="AE192" s="307"/>
      <c r="AF192" s="307"/>
      <c r="AG192" s="307"/>
      <c r="AH192" s="307"/>
      <c r="AI192" s="307"/>
      <c r="AJ192" s="307"/>
      <c r="AK192" s="307"/>
      <c r="AL192" s="307"/>
      <c r="AM192" s="307"/>
      <c r="AN192" s="307"/>
      <c r="AO192" s="307"/>
      <c r="AP192" s="307"/>
      <c r="AQ192" s="307"/>
      <c r="AR192" s="307"/>
      <c r="AS192" s="307"/>
      <c r="AT192" s="308"/>
    </row>
    <row r="193" spans="1:46" ht="6.6" customHeight="1" thickTop="1" x14ac:dyDescent="0.2">
      <c r="A193" s="426"/>
      <c r="B193" s="427"/>
      <c r="C193" s="427"/>
      <c r="D193" s="427"/>
      <c r="E193" s="427"/>
      <c r="F193" s="427"/>
      <c r="G193" s="427"/>
      <c r="H193" s="427"/>
      <c r="I193" s="427"/>
      <c r="J193" s="427"/>
      <c r="K193" s="427"/>
      <c r="L193" s="427"/>
      <c r="M193" s="428"/>
      <c r="N193" s="425"/>
      <c r="O193" s="425"/>
      <c r="P193" s="425"/>
      <c r="Q193" s="425"/>
      <c r="R193" s="425"/>
      <c r="S193" s="425"/>
      <c r="T193" s="425"/>
      <c r="U193" s="425"/>
      <c r="V193" s="425"/>
      <c r="W193" s="425"/>
      <c r="X193" s="425"/>
      <c r="Y193" s="425"/>
      <c r="Z193" s="425"/>
      <c r="AA193" s="412">
        <v>1</v>
      </c>
      <c r="AB193" s="412"/>
      <c r="AC193" s="412"/>
      <c r="AD193" s="412"/>
      <c r="AE193" s="412"/>
      <c r="AF193" s="412">
        <v>2</v>
      </c>
      <c r="AG193" s="412"/>
      <c r="AH193" s="412"/>
      <c r="AI193" s="412"/>
      <c r="AJ193" s="412"/>
      <c r="AK193" s="412">
        <v>3</v>
      </c>
      <c r="AL193" s="412"/>
      <c r="AM193" s="412"/>
      <c r="AN193" s="412"/>
      <c r="AO193" s="412"/>
      <c r="AP193" s="412">
        <v>4</v>
      </c>
      <c r="AQ193" s="412"/>
      <c r="AR193" s="412"/>
      <c r="AS193" s="412"/>
      <c r="AT193" s="413"/>
    </row>
    <row r="194" spans="1:46" ht="6.6" customHeight="1" x14ac:dyDescent="0.2">
      <c r="A194" s="429"/>
      <c r="B194" s="430"/>
      <c r="C194" s="430"/>
      <c r="D194" s="430"/>
      <c r="E194" s="430"/>
      <c r="F194" s="430"/>
      <c r="G194" s="430"/>
      <c r="H194" s="430"/>
      <c r="I194" s="430"/>
      <c r="J194" s="430"/>
      <c r="K194" s="430"/>
      <c r="L194" s="430"/>
      <c r="M194" s="431"/>
      <c r="N194" s="310"/>
      <c r="O194" s="310"/>
      <c r="P194" s="310"/>
      <c r="Q194" s="310"/>
      <c r="R194" s="310"/>
      <c r="S194" s="310"/>
      <c r="T194" s="310"/>
      <c r="U194" s="310"/>
      <c r="V194" s="310"/>
      <c r="W194" s="310"/>
      <c r="X194" s="310"/>
      <c r="Y194" s="310"/>
      <c r="Z194" s="310"/>
      <c r="AA194" s="312"/>
      <c r="AB194" s="312"/>
      <c r="AC194" s="312"/>
      <c r="AD194" s="312"/>
      <c r="AE194" s="312"/>
      <c r="AF194" s="312"/>
      <c r="AG194" s="312"/>
      <c r="AH194" s="312"/>
      <c r="AI194" s="312"/>
      <c r="AJ194" s="312"/>
      <c r="AK194" s="312"/>
      <c r="AL194" s="312"/>
      <c r="AM194" s="312"/>
      <c r="AN194" s="312"/>
      <c r="AO194" s="312"/>
      <c r="AP194" s="312"/>
      <c r="AQ194" s="312"/>
      <c r="AR194" s="312"/>
      <c r="AS194" s="312"/>
      <c r="AT194" s="314"/>
    </row>
    <row r="195" spans="1:46" ht="6.6" customHeight="1" x14ac:dyDescent="0.2">
      <c r="A195" s="429"/>
      <c r="B195" s="430"/>
      <c r="C195" s="430"/>
      <c r="D195" s="430"/>
      <c r="E195" s="430"/>
      <c r="F195" s="430"/>
      <c r="G195" s="430"/>
      <c r="H195" s="430"/>
      <c r="I195" s="430"/>
      <c r="J195" s="430"/>
      <c r="K195" s="430"/>
      <c r="L195" s="430"/>
      <c r="M195" s="431"/>
      <c r="N195" s="310"/>
      <c r="O195" s="310"/>
      <c r="P195" s="310"/>
      <c r="Q195" s="310"/>
      <c r="R195" s="310"/>
      <c r="S195" s="310"/>
      <c r="T195" s="310"/>
      <c r="U195" s="310"/>
      <c r="V195" s="310"/>
      <c r="W195" s="310"/>
      <c r="X195" s="310"/>
      <c r="Y195" s="310"/>
      <c r="Z195" s="310"/>
      <c r="AA195" s="312"/>
      <c r="AB195" s="312"/>
      <c r="AC195" s="312"/>
      <c r="AD195" s="312"/>
      <c r="AE195" s="312"/>
      <c r="AF195" s="312"/>
      <c r="AG195" s="312"/>
      <c r="AH195" s="312"/>
      <c r="AI195" s="312"/>
      <c r="AJ195" s="312"/>
      <c r="AK195" s="312"/>
      <c r="AL195" s="312"/>
      <c r="AM195" s="312"/>
      <c r="AN195" s="312"/>
      <c r="AO195" s="312"/>
      <c r="AP195" s="312"/>
      <c r="AQ195" s="312"/>
      <c r="AR195" s="312"/>
      <c r="AS195" s="312"/>
      <c r="AT195" s="314"/>
    </row>
    <row r="196" spans="1:46" ht="6.6" customHeight="1" x14ac:dyDescent="0.2">
      <c r="A196" s="432"/>
      <c r="B196" s="433"/>
      <c r="C196" s="433"/>
      <c r="D196" s="433"/>
      <c r="E196" s="433"/>
      <c r="F196" s="433"/>
      <c r="G196" s="433"/>
      <c r="H196" s="433"/>
      <c r="I196" s="433"/>
      <c r="J196" s="433"/>
      <c r="K196" s="433"/>
      <c r="L196" s="433"/>
      <c r="M196" s="434"/>
      <c r="N196" s="310"/>
      <c r="O196" s="310"/>
      <c r="P196" s="310"/>
      <c r="Q196" s="310"/>
      <c r="R196" s="310"/>
      <c r="S196" s="310"/>
      <c r="T196" s="310"/>
      <c r="U196" s="310"/>
      <c r="V196" s="310"/>
      <c r="W196" s="310"/>
      <c r="X196" s="310"/>
      <c r="Y196" s="310"/>
      <c r="Z196" s="310"/>
      <c r="AA196" s="312"/>
      <c r="AB196" s="312"/>
      <c r="AC196" s="312"/>
      <c r="AD196" s="312"/>
      <c r="AE196" s="312"/>
      <c r="AF196" s="312"/>
      <c r="AG196" s="312"/>
      <c r="AH196" s="312"/>
      <c r="AI196" s="312"/>
      <c r="AJ196" s="312"/>
      <c r="AK196" s="312"/>
      <c r="AL196" s="312"/>
      <c r="AM196" s="312"/>
      <c r="AN196" s="312"/>
      <c r="AO196" s="312"/>
      <c r="AP196" s="312"/>
      <c r="AQ196" s="312"/>
      <c r="AR196" s="312"/>
      <c r="AS196" s="312"/>
      <c r="AT196" s="314"/>
    </row>
    <row r="197" spans="1:46" ht="6.6" customHeight="1" x14ac:dyDescent="0.2">
      <c r="A197" s="422" t="s">
        <v>518</v>
      </c>
      <c r="B197" s="423"/>
      <c r="C197" s="423"/>
      <c r="D197" s="423"/>
      <c r="E197" s="423"/>
      <c r="F197" s="423"/>
      <c r="G197" s="423"/>
      <c r="H197" s="423"/>
      <c r="I197" s="423"/>
      <c r="J197" s="423"/>
      <c r="K197" s="423"/>
      <c r="L197" s="423"/>
      <c r="M197" s="423"/>
      <c r="N197" s="424"/>
      <c r="O197" s="424"/>
      <c r="P197" s="424"/>
      <c r="Q197" s="424"/>
      <c r="R197" s="424"/>
      <c r="S197" s="424"/>
      <c r="T197" s="424"/>
      <c r="U197" s="424"/>
      <c r="V197" s="424"/>
      <c r="W197" s="424"/>
      <c r="X197" s="424"/>
      <c r="Y197" s="424"/>
      <c r="Z197" s="424"/>
      <c r="AA197" s="312" t="str">
        <f>IF(AN40=1,ROUND(((100-AVERAGE(T49:AT50))/100*J70)+AVERAGE(T49:AT50)/100,1),"")</f>
        <v/>
      </c>
      <c r="AB197" s="312"/>
      <c r="AC197" s="312"/>
      <c r="AD197" s="312"/>
      <c r="AE197" s="312"/>
      <c r="AF197" s="312"/>
      <c r="AG197" s="312"/>
      <c r="AH197" s="312"/>
      <c r="AI197" s="312"/>
      <c r="AJ197" s="312"/>
      <c r="AK197" s="312"/>
      <c r="AL197" s="312"/>
      <c r="AM197" s="312"/>
      <c r="AN197" s="312"/>
      <c r="AO197" s="312"/>
      <c r="AP197" s="414"/>
      <c r="AQ197" s="414"/>
      <c r="AR197" s="414"/>
      <c r="AS197" s="414"/>
      <c r="AT197" s="415"/>
    </row>
    <row r="198" spans="1:46" ht="6.6" customHeight="1" x14ac:dyDescent="0.2">
      <c r="A198" s="422"/>
      <c r="B198" s="423"/>
      <c r="C198" s="423"/>
      <c r="D198" s="423"/>
      <c r="E198" s="423"/>
      <c r="F198" s="423"/>
      <c r="G198" s="423"/>
      <c r="H198" s="423"/>
      <c r="I198" s="423"/>
      <c r="J198" s="423"/>
      <c r="K198" s="423"/>
      <c r="L198" s="423"/>
      <c r="M198" s="423"/>
      <c r="N198" s="424"/>
      <c r="O198" s="424"/>
      <c r="P198" s="424"/>
      <c r="Q198" s="424"/>
      <c r="R198" s="424"/>
      <c r="S198" s="424"/>
      <c r="T198" s="424"/>
      <c r="U198" s="424"/>
      <c r="V198" s="424"/>
      <c r="W198" s="424"/>
      <c r="X198" s="424"/>
      <c r="Y198" s="424"/>
      <c r="Z198" s="424"/>
      <c r="AA198" s="312"/>
      <c r="AB198" s="312"/>
      <c r="AC198" s="312"/>
      <c r="AD198" s="312"/>
      <c r="AE198" s="312"/>
      <c r="AF198" s="312"/>
      <c r="AG198" s="312"/>
      <c r="AH198" s="312"/>
      <c r="AI198" s="312"/>
      <c r="AJ198" s="312"/>
      <c r="AK198" s="312"/>
      <c r="AL198" s="312"/>
      <c r="AM198" s="312"/>
      <c r="AN198" s="312"/>
      <c r="AO198" s="312"/>
      <c r="AP198" s="414"/>
      <c r="AQ198" s="414"/>
      <c r="AR198" s="414"/>
      <c r="AS198" s="414"/>
      <c r="AT198" s="415"/>
    </row>
    <row r="199" spans="1:46" ht="6.6" customHeight="1" x14ac:dyDescent="0.2">
      <c r="A199" s="422"/>
      <c r="B199" s="423"/>
      <c r="C199" s="423"/>
      <c r="D199" s="423"/>
      <c r="E199" s="423"/>
      <c r="F199" s="423"/>
      <c r="G199" s="423"/>
      <c r="H199" s="423"/>
      <c r="I199" s="423"/>
      <c r="J199" s="423"/>
      <c r="K199" s="423"/>
      <c r="L199" s="423"/>
      <c r="M199" s="423"/>
      <c r="N199" s="424"/>
      <c r="O199" s="424"/>
      <c r="P199" s="424"/>
      <c r="Q199" s="424"/>
      <c r="R199" s="424"/>
      <c r="S199" s="424"/>
      <c r="T199" s="424"/>
      <c r="U199" s="424"/>
      <c r="V199" s="424"/>
      <c r="W199" s="424"/>
      <c r="X199" s="424"/>
      <c r="Y199" s="424"/>
      <c r="Z199" s="424"/>
      <c r="AA199" s="312"/>
      <c r="AB199" s="312"/>
      <c r="AC199" s="312"/>
      <c r="AD199" s="312"/>
      <c r="AE199" s="312"/>
      <c r="AF199" s="312"/>
      <c r="AG199" s="312"/>
      <c r="AH199" s="312"/>
      <c r="AI199" s="312"/>
      <c r="AJ199" s="312"/>
      <c r="AK199" s="312"/>
      <c r="AL199" s="312"/>
      <c r="AM199" s="312"/>
      <c r="AN199" s="312"/>
      <c r="AO199" s="312"/>
      <c r="AP199" s="414"/>
      <c r="AQ199" s="414"/>
      <c r="AR199" s="414"/>
      <c r="AS199" s="414"/>
      <c r="AT199" s="415"/>
    </row>
    <row r="200" spans="1:46" ht="6.6" customHeight="1" x14ac:dyDescent="0.2">
      <c r="A200" s="422"/>
      <c r="B200" s="423"/>
      <c r="C200" s="423"/>
      <c r="D200" s="423"/>
      <c r="E200" s="423"/>
      <c r="F200" s="423"/>
      <c r="G200" s="423"/>
      <c r="H200" s="423"/>
      <c r="I200" s="423"/>
      <c r="J200" s="423"/>
      <c r="K200" s="423"/>
      <c r="L200" s="423"/>
      <c r="M200" s="423"/>
      <c r="N200" s="424"/>
      <c r="O200" s="424"/>
      <c r="P200" s="424"/>
      <c r="Q200" s="424"/>
      <c r="R200" s="424"/>
      <c r="S200" s="424"/>
      <c r="T200" s="424"/>
      <c r="U200" s="424"/>
      <c r="V200" s="424"/>
      <c r="W200" s="424"/>
      <c r="X200" s="424"/>
      <c r="Y200" s="424"/>
      <c r="Z200" s="424"/>
      <c r="AA200" s="312"/>
      <c r="AB200" s="312"/>
      <c r="AC200" s="312"/>
      <c r="AD200" s="312"/>
      <c r="AE200" s="312"/>
      <c r="AF200" s="312"/>
      <c r="AG200" s="312"/>
      <c r="AH200" s="312"/>
      <c r="AI200" s="312"/>
      <c r="AJ200" s="312"/>
      <c r="AK200" s="312"/>
      <c r="AL200" s="312"/>
      <c r="AM200" s="312"/>
      <c r="AN200" s="312"/>
      <c r="AO200" s="312"/>
      <c r="AP200" s="414"/>
      <c r="AQ200" s="414"/>
      <c r="AR200" s="414"/>
      <c r="AS200" s="414"/>
      <c r="AT200" s="415"/>
    </row>
    <row r="201" spans="1:46" ht="6.6" customHeight="1" x14ac:dyDescent="0.2">
      <c r="A201" s="422"/>
      <c r="B201" s="423"/>
      <c r="C201" s="423"/>
      <c r="D201" s="423"/>
      <c r="E201" s="423"/>
      <c r="F201" s="423"/>
      <c r="G201" s="423"/>
      <c r="H201" s="423"/>
      <c r="I201" s="423"/>
      <c r="J201" s="423"/>
      <c r="K201" s="423"/>
      <c r="L201" s="423"/>
      <c r="M201" s="423"/>
      <c r="N201" s="424"/>
      <c r="O201" s="424"/>
      <c r="P201" s="424"/>
      <c r="Q201" s="424"/>
      <c r="R201" s="424"/>
      <c r="S201" s="424"/>
      <c r="T201" s="424"/>
      <c r="U201" s="424"/>
      <c r="V201" s="424"/>
      <c r="W201" s="424"/>
      <c r="X201" s="424"/>
      <c r="Y201" s="424"/>
      <c r="Z201" s="424"/>
      <c r="AA201" s="312"/>
      <c r="AB201" s="312"/>
      <c r="AC201" s="312"/>
      <c r="AD201" s="312"/>
      <c r="AE201" s="312"/>
      <c r="AF201" s="312"/>
      <c r="AG201" s="312"/>
      <c r="AH201" s="312"/>
      <c r="AI201" s="312"/>
      <c r="AJ201" s="312"/>
      <c r="AK201" s="312"/>
      <c r="AL201" s="312"/>
      <c r="AM201" s="312"/>
      <c r="AN201" s="312"/>
      <c r="AO201" s="312"/>
      <c r="AP201" s="414"/>
      <c r="AQ201" s="414"/>
      <c r="AR201" s="414"/>
      <c r="AS201" s="414"/>
      <c r="AT201" s="415"/>
    </row>
    <row r="202" spans="1:46" ht="6.6" customHeight="1" x14ac:dyDescent="0.2">
      <c r="A202" s="422"/>
      <c r="B202" s="423"/>
      <c r="C202" s="423"/>
      <c r="D202" s="423"/>
      <c r="E202" s="423"/>
      <c r="F202" s="423"/>
      <c r="G202" s="423"/>
      <c r="H202" s="423"/>
      <c r="I202" s="423"/>
      <c r="J202" s="423"/>
      <c r="K202" s="423"/>
      <c r="L202" s="423"/>
      <c r="M202" s="423"/>
      <c r="N202" s="424"/>
      <c r="O202" s="424"/>
      <c r="P202" s="424"/>
      <c r="Q202" s="424"/>
      <c r="R202" s="424"/>
      <c r="S202" s="424"/>
      <c r="T202" s="424"/>
      <c r="U202" s="424"/>
      <c r="V202" s="424"/>
      <c r="W202" s="424"/>
      <c r="X202" s="424"/>
      <c r="Y202" s="424"/>
      <c r="Z202" s="424"/>
      <c r="AA202" s="312"/>
      <c r="AB202" s="312"/>
      <c r="AC202" s="312"/>
      <c r="AD202" s="312"/>
      <c r="AE202" s="312"/>
      <c r="AF202" s="312"/>
      <c r="AG202" s="312"/>
      <c r="AH202" s="312"/>
      <c r="AI202" s="312"/>
      <c r="AJ202" s="312"/>
      <c r="AK202" s="312"/>
      <c r="AL202" s="312"/>
      <c r="AM202" s="312"/>
      <c r="AN202" s="312"/>
      <c r="AO202" s="312"/>
      <c r="AP202" s="414"/>
      <c r="AQ202" s="414"/>
      <c r="AR202" s="414"/>
      <c r="AS202" s="414"/>
      <c r="AT202" s="415"/>
    </row>
    <row r="203" spans="1:46" ht="6.6" customHeight="1" x14ac:dyDescent="0.2">
      <c r="A203" s="435" t="s">
        <v>519</v>
      </c>
      <c r="B203" s="423"/>
      <c r="C203" s="423"/>
      <c r="D203" s="423"/>
      <c r="E203" s="423"/>
      <c r="F203" s="423"/>
      <c r="G203" s="423"/>
      <c r="H203" s="423"/>
      <c r="I203" s="423"/>
      <c r="J203" s="423"/>
      <c r="K203" s="423"/>
      <c r="L203" s="423"/>
      <c r="M203" s="423"/>
      <c r="N203" s="438"/>
      <c r="O203" s="438"/>
      <c r="P203" s="438"/>
      <c r="Q203" s="438"/>
      <c r="R203" s="438"/>
      <c r="S203" s="438"/>
      <c r="T203" s="438"/>
      <c r="U203" s="438"/>
      <c r="V203" s="438"/>
      <c r="W203" s="438"/>
      <c r="X203" s="438"/>
      <c r="Y203" s="438"/>
      <c r="Z203" s="438"/>
      <c r="AA203" s="312" t="str">
        <f>IF(AN40=1,IF(H3="E",ROUND((160*Y70*B220)/((AVERAGE(T49:AT50)/100)*Y70*B220+(160*(1-AVERAGE(T49:AT50)/100))),1),""),"")</f>
        <v/>
      </c>
      <c r="AB203" s="312"/>
      <c r="AC203" s="312"/>
      <c r="AD203" s="312"/>
      <c r="AE203" s="312"/>
      <c r="AF203" s="312"/>
      <c r="AG203" s="312"/>
      <c r="AH203" s="312"/>
      <c r="AI203" s="312"/>
      <c r="AJ203" s="312"/>
      <c r="AK203" s="312"/>
      <c r="AL203" s="312"/>
      <c r="AM203" s="312"/>
      <c r="AN203" s="312"/>
      <c r="AO203" s="312"/>
      <c r="AP203" s="414"/>
      <c r="AQ203" s="414"/>
      <c r="AR203" s="414"/>
      <c r="AS203" s="414"/>
      <c r="AT203" s="415"/>
    </row>
    <row r="204" spans="1:46" ht="6.6" customHeight="1" x14ac:dyDescent="0.2">
      <c r="A204" s="435"/>
      <c r="B204" s="423"/>
      <c r="C204" s="423"/>
      <c r="D204" s="423"/>
      <c r="E204" s="423"/>
      <c r="F204" s="423"/>
      <c r="G204" s="423"/>
      <c r="H204" s="423"/>
      <c r="I204" s="423"/>
      <c r="J204" s="423"/>
      <c r="K204" s="423"/>
      <c r="L204" s="423"/>
      <c r="M204" s="423"/>
      <c r="N204" s="438"/>
      <c r="O204" s="438"/>
      <c r="P204" s="438"/>
      <c r="Q204" s="438"/>
      <c r="R204" s="438"/>
      <c r="S204" s="438"/>
      <c r="T204" s="438"/>
      <c r="U204" s="438"/>
      <c r="V204" s="438"/>
      <c r="W204" s="438"/>
      <c r="X204" s="438"/>
      <c r="Y204" s="438"/>
      <c r="Z204" s="438"/>
      <c r="AA204" s="312"/>
      <c r="AB204" s="312"/>
      <c r="AC204" s="312"/>
      <c r="AD204" s="312"/>
      <c r="AE204" s="312"/>
      <c r="AF204" s="312"/>
      <c r="AG204" s="312"/>
      <c r="AH204" s="312"/>
      <c r="AI204" s="312"/>
      <c r="AJ204" s="312"/>
      <c r="AK204" s="312"/>
      <c r="AL204" s="312"/>
      <c r="AM204" s="312"/>
      <c r="AN204" s="312"/>
      <c r="AO204" s="312"/>
      <c r="AP204" s="414"/>
      <c r="AQ204" s="414"/>
      <c r="AR204" s="414"/>
      <c r="AS204" s="414"/>
      <c r="AT204" s="415"/>
    </row>
    <row r="205" spans="1:46" ht="6.6" customHeight="1" x14ac:dyDescent="0.2">
      <c r="A205" s="435"/>
      <c r="B205" s="423"/>
      <c r="C205" s="423"/>
      <c r="D205" s="423"/>
      <c r="E205" s="423"/>
      <c r="F205" s="423"/>
      <c r="G205" s="423"/>
      <c r="H205" s="423"/>
      <c r="I205" s="423"/>
      <c r="J205" s="423"/>
      <c r="K205" s="423"/>
      <c r="L205" s="423"/>
      <c r="M205" s="423"/>
      <c r="N205" s="438"/>
      <c r="O205" s="438"/>
      <c r="P205" s="438"/>
      <c r="Q205" s="438"/>
      <c r="R205" s="438"/>
      <c r="S205" s="438"/>
      <c r="T205" s="438"/>
      <c r="U205" s="438"/>
      <c r="V205" s="438"/>
      <c r="W205" s="438"/>
      <c r="X205" s="438"/>
      <c r="Y205" s="438"/>
      <c r="Z205" s="438"/>
      <c r="AA205" s="312"/>
      <c r="AB205" s="312"/>
      <c r="AC205" s="312"/>
      <c r="AD205" s="312"/>
      <c r="AE205" s="312"/>
      <c r="AF205" s="312"/>
      <c r="AG205" s="312"/>
      <c r="AH205" s="312"/>
      <c r="AI205" s="312"/>
      <c r="AJ205" s="312"/>
      <c r="AK205" s="312"/>
      <c r="AL205" s="312"/>
      <c r="AM205" s="312"/>
      <c r="AN205" s="312"/>
      <c r="AO205" s="312"/>
      <c r="AP205" s="414"/>
      <c r="AQ205" s="414"/>
      <c r="AR205" s="414"/>
      <c r="AS205" s="414"/>
      <c r="AT205" s="415"/>
    </row>
    <row r="206" spans="1:46" ht="6.6" customHeight="1" x14ac:dyDescent="0.2">
      <c r="A206" s="435"/>
      <c r="B206" s="423"/>
      <c r="C206" s="423"/>
      <c r="D206" s="423"/>
      <c r="E206" s="423"/>
      <c r="F206" s="423"/>
      <c r="G206" s="423"/>
      <c r="H206" s="423"/>
      <c r="I206" s="423"/>
      <c r="J206" s="423"/>
      <c r="K206" s="423"/>
      <c r="L206" s="423"/>
      <c r="M206" s="423"/>
      <c r="N206" s="438"/>
      <c r="O206" s="438"/>
      <c r="P206" s="438"/>
      <c r="Q206" s="438"/>
      <c r="R206" s="438"/>
      <c r="S206" s="438"/>
      <c r="T206" s="438"/>
      <c r="U206" s="438"/>
      <c r="V206" s="438"/>
      <c r="W206" s="438"/>
      <c r="X206" s="438"/>
      <c r="Y206" s="438"/>
      <c r="Z206" s="438"/>
      <c r="AA206" s="312"/>
      <c r="AB206" s="312"/>
      <c r="AC206" s="312"/>
      <c r="AD206" s="312"/>
      <c r="AE206" s="312"/>
      <c r="AF206" s="312"/>
      <c r="AG206" s="312"/>
      <c r="AH206" s="312"/>
      <c r="AI206" s="312"/>
      <c r="AJ206" s="312"/>
      <c r="AK206" s="312"/>
      <c r="AL206" s="312"/>
      <c r="AM206" s="312"/>
      <c r="AN206" s="312"/>
      <c r="AO206" s="312"/>
      <c r="AP206" s="414"/>
      <c r="AQ206" s="414"/>
      <c r="AR206" s="414"/>
      <c r="AS206" s="414"/>
      <c r="AT206" s="415"/>
    </row>
    <row r="207" spans="1:46" ht="6.6" customHeight="1" x14ac:dyDescent="0.2">
      <c r="A207" s="435"/>
      <c r="B207" s="423"/>
      <c r="C207" s="423"/>
      <c r="D207" s="423"/>
      <c r="E207" s="423"/>
      <c r="F207" s="423"/>
      <c r="G207" s="423"/>
      <c r="H207" s="423"/>
      <c r="I207" s="423"/>
      <c r="J207" s="423"/>
      <c r="K207" s="423"/>
      <c r="L207" s="423"/>
      <c r="M207" s="423"/>
      <c r="N207" s="438"/>
      <c r="O207" s="438"/>
      <c r="P207" s="438"/>
      <c r="Q207" s="438"/>
      <c r="R207" s="438"/>
      <c r="S207" s="438"/>
      <c r="T207" s="438"/>
      <c r="U207" s="438"/>
      <c r="V207" s="438"/>
      <c r="W207" s="438"/>
      <c r="X207" s="438"/>
      <c r="Y207" s="438"/>
      <c r="Z207" s="438"/>
      <c r="AA207" s="312"/>
      <c r="AB207" s="312"/>
      <c r="AC207" s="312"/>
      <c r="AD207" s="312"/>
      <c r="AE207" s="312"/>
      <c r="AF207" s="312"/>
      <c r="AG207" s="312"/>
      <c r="AH207" s="312"/>
      <c r="AI207" s="312"/>
      <c r="AJ207" s="312"/>
      <c r="AK207" s="312"/>
      <c r="AL207" s="312"/>
      <c r="AM207" s="312"/>
      <c r="AN207" s="312"/>
      <c r="AO207" s="312"/>
      <c r="AP207" s="414"/>
      <c r="AQ207" s="414"/>
      <c r="AR207" s="414"/>
      <c r="AS207" s="414"/>
      <c r="AT207" s="415"/>
    </row>
    <row r="208" spans="1:46" ht="6.6" customHeight="1" x14ac:dyDescent="0.2">
      <c r="A208" s="422"/>
      <c r="B208" s="423"/>
      <c r="C208" s="423"/>
      <c r="D208" s="423"/>
      <c r="E208" s="423"/>
      <c r="F208" s="423"/>
      <c r="G208" s="423"/>
      <c r="H208" s="423"/>
      <c r="I208" s="423"/>
      <c r="J208" s="423"/>
      <c r="K208" s="423"/>
      <c r="L208" s="423"/>
      <c r="M208" s="423"/>
      <c r="N208" s="438"/>
      <c r="O208" s="438"/>
      <c r="P208" s="438"/>
      <c r="Q208" s="438"/>
      <c r="R208" s="438"/>
      <c r="S208" s="438"/>
      <c r="T208" s="438"/>
      <c r="U208" s="438"/>
      <c r="V208" s="438"/>
      <c r="W208" s="438"/>
      <c r="X208" s="438"/>
      <c r="Y208" s="438"/>
      <c r="Z208" s="438"/>
      <c r="AA208" s="312"/>
      <c r="AB208" s="312"/>
      <c r="AC208" s="312"/>
      <c r="AD208" s="312"/>
      <c r="AE208" s="312"/>
      <c r="AF208" s="312"/>
      <c r="AG208" s="312"/>
      <c r="AH208" s="312"/>
      <c r="AI208" s="312"/>
      <c r="AJ208" s="312"/>
      <c r="AK208" s="312"/>
      <c r="AL208" s="312"/>
      <c r="AM208" s="312"/>
      <c r="AN208" s="312"/>
      <c r="AO208" s="312"/>
      <c r="AP208" s="414"/>
      <c r="AQ208" s="414"/>
      <c r="AR208" s="414"/>
      <c r="AS208" s="414"/>
      <c r="AT208" s="415"/>
    </row>
    <row r="209" spans="1:46" ht="6.6" customHeight="1" x14ac:dyDescent="0.2">
      <c r="A209" s="422"/>
      <c r="B209" s="423"/>
      <c r="C209" s="423"/>
      <c r="D209" s="423"/>
      <c r="E209" s="423"/>
      <c r="F209" s="423"/>
      <c r="G209" s="423"/>
      <c r="H209" s="423"/>
      <c r="I209" s="423"/>
      <c r="J209" s="423"/>
      <c r="K209" s="423"/>
      <c r="L209" s="423"/>
      <c r="M209" s="423"/>
      <c r="N209" s="438"/>
      <c r="O209" s="438"/>
      <c r="P209" s="438"/>
      <c r="Q209" s="438"/>
      <c r="R209" s="438"/>
      <c r="S209" s="438"/>
      <c r="T209" s="438"/>
      <c r="U209" s="438"/>
      <c r="V209" s="438"/>
      <c r="W209" s="438"/>
      <c r="X209" s="438"/>
      <c r="Y209" s="438"/>
      <c r="Z209" s="438"/>
      <c r="AA209" s="312"/>
      <c r="AB209" s="312"/>
      <c r="AC209" s="312"/>
      <c r="AD209" s="312"/>
      <c r="AE209" s="312"/>
      <c r="AF209" s="312"/>
      <c r="AG209" s="312"/>
      <c r="AH209" s="312"/>
      <c r="AI209" s="312"/>
      <c r="AJ209" s="312"/>
      <c r="AK209" s="312"/>
      <c r="AL209" s="312"/>
      <c r="AM209" s="312"/>
      <c r="AN209" s="312"/>
      <c r="AO209" s="312"/>
      <c r="AP209" s="414"/>
      <c r="AQ209" s="414"/>
      <c r="AR209" s="414"/>
      <c r="AS209" s="414"/>
      <c r="AT209" s="415"/>
    </row>
    <row r="210" spans="1:46" ht="6.6" customHeight="1" x14ac:dyDescent="0.2">
      <c r="A210" s="422"/>
      <c r="B210" s="423"/>
      <c r="C210" s="423"/>
      <c r="D210" s="423"/>
      <c r="E210" s="423"/>
      <c r="F210" s="423"/>
      <c r="G210" s="423"/>
      <c r="H210" s="423"/>
      <c r="I210" s="423"/>
      <c r="J210" s="423"/>
      <c r="K210" s="423"/>
      <c r="L210" s="423"/>
      <c r="M210" s="423"/>
      <c r="N210" s="438"/>
      <c r="O210" s="438"/>
      <c r="P210" s="438"/>
      <c r="Q210" s="438"/>
      <c r="R210" s="438"/>
      <c r="S210" s="438"/>
      <c r="T210" s="438"/>
      <c r="U210" s="438"/>
      <c r="V210" s="438"/>
      <c r="W210" s="438"/>
      <c r="X210" s="438"/>
      <c r="Y210" s="438"/>
      <c r="Z210" s="438"/>
      <c r="AA210" s="312"/>
      <c r="AB210" s="312"/>
      <c r="AC210" s="312"/>
      <c r="AD210" s="312"/>
      <c r="AE210" s="312"/>
      <c r="AF210" s="312"/>
      <c r="AG210" s="312"/>
      <c r="AH210" s="312"/>
      <c r="AI210" s="312"/>
      <c r="AJ210" s="312"/>
      <c r="AK210" s="312"/>
      <c r="AL210" s="312"/>
      <c r="AM210" s="312"/>
      <c r="AN210" s="312"/>
      <c r="AO210" s="312"/>
      <c r="AP210" s="414"/>
      <c r="AQ210" s="414"/>
      <c r="AR210" s="414"/>
      <c r="AS210" s="414"/>
      <c r="AT210" s="415"/>
    </row>
    <row r="211" spans="1:46" ht="6.6" customHeight="1" x14ac:dyDescent="0.2">
      <c r="A211" s="435" t="s">
        <v>520</v>
      </c>
      <c r="B211" s="423"/>
      <c r="C211" s="423"/>
      <c r="D211" s="423"/>
      <c r="E211" s="423"/>
      <c r="F211" s="423"/>
      <c r="G211" s="423"/>
      <c r="H211" s="423"/>
      <c r="I211" s="423"/>
      <c r="J211" s="423"/>
      <c r="K211" s="423"/>
      <c r="L211" s="423"/>
      <c r="M211" s="423"/>
      <c r="N211" s="420"/>
      <c r="O211" s="420"/>
      <c r="P211" s="420"/>
      <c r="Q211" s="420"/>
      <c r="R211" s="420"/>
      <c r="S211" s="420"/>
      <c r="T211" s="420"/>
      <c r="U211" s="420"/>
      <c r="V211" s="420"/>
      <c r="W211" s="420"/>
      <c r="X211" s="420"/>
      <c r="Y211" s="420"/>
      <c r="Z211" s="420"/>
      <c r="AA211" s="312" t="str">
        <f>IF(AN40=1,IF(H3="M",ROUND((2564*Y70*B220)/((AVERAGE(T49:AT50)/100)*Y70*B220+(2564*(1-AVERAGE(T49:AT50)/100))),1),""),"" )</f>
        <v/>
      </c>
      <c r="AB211" s="312"/>
      <c r="AC211" s="312"/>
      <c r="AD211" s="312"/>
      <c r="AE211" s="312"/>
      <c r="AF211" s="312"/>
      <c r="AG211" s="312"/>
      <c r="AH211" s="312"/>
      <c r="AI211" s="312"/>
      <c r="AJ211" s="312"/>
      <c r="AK211" s="312"/>
      <c r="AL211" s="312"/>
      <c r="AM211" s="312"/>
      <c r="AN211" s="312"/>
      <c r="AO211" s="312"/>
      <c r="AP211" s="414"/>
      <c r="AQ211" s="414"/>
      <c r="AR211" s="414"/>
      <c r="AS211" s="414"/>
      <c r="AT211" s="415"/>
    </row>
    <row r="212" spans="1:46" ht="6.6" customHeight="1" x14ac:dyDescent="0.2">
      <c r="A212" s="435"/>
      <c r="B212" s="423"/>
      <c r="C212" s="423"/>
      <c r="D212" s="423"/>
      <c r="E212" s="423"/>
      <c r="F212" s="423"/>
      <c r="G212" s="423"/>
      <c r="H212" s="423"/>
      <c r="I212" s="423"/>
      <c r="J212" s="423"/>
      <c r="K212" s="423"/>
      <c r="L212" s="423"/>
      <c r="M212" s="423"/>
      <c r="N212" s="420"/>
      <c r="O212" s="420"/>
      <c r="P212" s="420"/>
      <c r="Q212" s="420"/>
      <c r="R212" s="420"/>
      <c r="S212" s="420"/>
      <c r="T212" s="420"/>
      <c r="U212" s="420"/>
      <c r="V212" s="420"/>
      <c r="W212" s="420"/>
      <c r="X212" s="420"/>
      <c r="Y212" s="420"/>
      <c r="Z212" s="420"/>
      <c r="AA212" s="312"/>
      <c r="AB212" s="312"/>
      <c r="AC212" s="312"/>
      <c r="AD212" s="312"/>
      <c r="AE212" s="312"/>
      <c r="AF212" s="312"/>
      <c r="AG212" s="312"/>
      <c r="AH212" s="312"/>
      <c r="AI212" s="312"/>
      <c r="AJ212" s="312"/>
      <c r="AK212" s="312"/>
      <c r="AL212" s="312"/>
      <c r="AM212" s="312"/>
      <c r="AN212" s="312"/>
      <c r="AO212" s="312"/>
      <c r="AP212" s="414"/>
      <c r="AQ212" s="414"/>
      <c r="AR212" s="414"/>
      <c r="AS212" s="414"/>
      <c r="AT212" s="415"/>
    </row>
    <row r="213" spans="1:46" ht="6.6" customHeight="1" x14ac:dyDescent="0.2">
      <c r="A213" s="435"/>
      <c r="B213" s="423"/>
      <c r="C213" s="423"/>
      <c r="D213" s="423"/>
      <c r="E213" s="423"/>
      <c r="F213" s="423"/>
      <c r="G213" s="423"/>
      <c r="H213" s="423"/>
      <c r="I213" s="423"/>
      <c r="J213" s="423"/>
      <c r="K213" s="423"/>
      <c r="L213" s="423"/>
      <c r="M213" s="423"/>
      <c r="N213" s="420"/>
      <c r="O213" s="420"/>
      <c r="P213" s="420"/>
      <c r="Q213" s="420"/>
      <c r="R213" s="420"/>
      <c r="S213" s="420"/>
      <c r="T213" s="420"/>
      <c r="U213" s="420"/>
      <c r="V213" s="420"/>
      <c r="W213" s="420"/>
      <c r="X213" s="420"/>
      <c r="Y213" s="420"/>
      <c r="Z213" s="420"/>
      <c r="AA213" s="312"/>
      <c r="AB213" s="312"/>
      <c r="AC213" s="312"/>
      <c r="AD213" s="312"/>
      <c r="AE213" s="312"/>
      <c r="AF213" s="312"/>
      <c r="AG213" s="312"/>
      <c r="AH213" s="312"/>
      <c r="AI213" s="312"/>
      <c r="AJ213" s="312"/>
      <c r="AK213" s="312"/>
      <c r="AL213" s="312"/>
      <c r="AM213" s="312"/>
      <c r="AN213" s="312"/>
      <c r="AO213" s="312"/>
      <c r="AP213" s="414"/>
      <c r="AQ213" s="414"/>
      <c r="AR213" s="414"/>
      <c r="AS213" s="414"/>
      <c r="AT213" s="415"/>
    </row>
    <row r="214" spans="1:46" ht="6.6" customHeight="1" x14ac:dyDescent="0.2">
      <c r="A214" s="435"/>
      <c r="B214" s="423"/>
      <c r="C214" s="423"/>
      <c r="D214" s="423"/>
      <c r="E214" s="423"/>
      <c r="F214" s="423"/>
      <c r="G214" s="423"/>
      <c r="H214" s="423"/>
      <c r="I214" s="423"/>
      <c r="J214" s="423"/>
      <c r="K214" s="423"/>
      <c r="L214" s="423"/>
      <c r="M214" s="423"/>
      <c r="N214" s="420"/>
      <c r="O214" s="420"/>
      <c r="P214" s="420"/>
      <c r="Q214" s="420"/>
      <c r="R214" s="420"/>
      <c r="S214" s="420"/>
      <c r="T214" s="420"/>
      <c r="U214" s="420"/>
      <c r="V214" s="420"/>
      <c r="W214" s="420"/>
      <c r="X214" s="420"/>
      <c r="Y214" s="420"/>
      <c r="Z214" s="420"/>
      <c r="AA214" s="312"/>
      <c r="AB214" s="312"/>
      <c r="AC214" s="312"/>
      <c r="AD214" s="312"/>
      <c r="AE214" s="312"/>
      <c r="AF214" s="312"/>
      <c r="AG214" s="312"/>
      <c r="AH214" s="312"/>
      <c r="AI214" s="312"/>
      <c r="AJ214" s="312"/>
      <c r="AK214" s="312"/>
      <c r="AL214" s="312"/>
      <c r="AM214" s="312"/>
      <c r="AN214" s="312"/>
      <c r="AO214" s="312"/>
      <c r="AP214" s="414"/>
      <c r="AQ214" s="414"/>
      <c r="AR214" s="414"/>
      <c r="AS214" s="414"/>
      <c r="AT214" s="415"/>
    </row>
    <row r="215" spans="1:46" ht="6.6" customHeight="1" x14ac:dyDescent="0.2">
      <c r="A215" s="435"/>
      <c r="B215" s="423"/>
      <c r="C215" s="423"/>
      <c r="D215" s="423"/>
      <c r="E215" s="423"/>
      <c r="F215" s="423"/>
      <c r="G215" s="423"/>
      <c r="H215" s="423"/>
      <c r="I215" s="423"/>
      <c r="J215" s="423"/>
      <c r="K215" s="423"/>
      <c r="L215" s="423"/>
      <c r="M215" s="423"/>
      <c r="N215" s="420"/>
      <c r="O215" s="420"/>
      <c r="P215" s="420"/>
      <c r="Q215" s="420"/>
      <c r="R215" s="420"/>
      <c r="S215" s="420"/>
      <c r="T215" s="420"/>
      <c r="U215" s="420"/>
      <c r="V215" s="420"/>
      <c r="W215" s="420"/>
      <c r="X215" s="420"/>
      <c r="Y215" s="420"/>
      <c r="Z215" s="420"/>
      <c r="AA215" s="312"/>
      <c r="AB215" s="312"/>
      <c r="AC215" s="312"/>
      <c r="AD215" s="312"/>
      <c r="AE215" s="312"/>
      <c r="AF215" s="312"/>
      <c r="AG215" s="312"/>
      <c r="AH215" s="312"/>
      <c r="AI215" s="312"/>
      <c r="AJ215" s="312"/>
      <c r="AK215" s="312"/>
      <c r="AL215" s="312"/>
      <c r="AM215" s="312"/>
      <c r="AN215" s="312"/>
      <c r="AO215" s="312"/>
      <c r="AP215" s="414"/>
      <c r="AQ215" s="414"/>
      <c r="AR215" s="414"/>
      <c r="AS215" s="414"/>
      <c r="AT215" s="415"/>
    </row>
    <row r="216" spans="1:46" ht="6.6" customHeight="1" x14ac:dyDescent="0.2">
      <c r="A216" s="422"/>
      <c r="B216" s="423"/>
      <c r="C216" s="423"/>
      <c r="D216" s="423"/>
      <c r="E216" s="423"/>
      <c r="F216" s="423"/>
      <c r="G216" s="423"/>
      <c r="H216" s="423"/>
      <c r="I216" s="423"/>
      <c r="J216" s="423"/>
      <c r="K216" s="423"/>
      <c r="L216" s="423"/>
      <c r="M216" s="423"/>
      <c r="N216" s="420"/>
      <c r="O216" s="420"/>
      <c r="P216" s="420"/>
      <c r="Q216" s="420"/>
      <c r="R216" s="420"/>
      <c r="S216" s="420"/>
      <c r="T216" s="420"/>
      <c r="U216" s="420"/>
      <c r="V216" s="420"/>
      <c r="W216" s="420"/>
      <c r="X216" s="420"/>
      <c r="Y216" s="420"/>
      <c r="Z216" s="420"/>
      <c r="AA216" s="312"/>
      <c r="AB216" s="312"/>
      <c r="AC216" s="312"/>
      <c r="AD216" s="312"/>
      <c r="AE216" s="312"/>
      <c r="AF216" s="312"/>
      <c r="AG216" s="312"/>
      <c r="AH216" s="312"/>
      <c r="AI216" s="312"/>
      <c r="AJ216" s="312"/>
      <c r="AK216" s="312"/>
      <c r="AL216" s="312"/>
      <c r="AM216" s="312"/>
      <c r="AN216" s="312"/>
      <c r="AO216" s="312"/>
      <c r="AP216" s="414"/>
      <c r="AQ216" s="414"/>
      <c r="AR216" s="414"/>
      <c r="AS216" s="414"/>
      <c r="AT216" s="415"/>
    </row>
    <row r="217" spans="1:46" ht="6.6" customHeight="1" x14ac:dyDescent="0.2">
      <c r="A217" s="422"/>
      <c r="B217" s="423"/>
      <c r="C217" s="423"/>
      <c r="D217" s="423"/>
      <c r="E217" s="423"/>
      <c r="F217" s="423"/>
      <c r="G217" s="423"/>
      <c r="H217" s="423"/>
      <c r="I217" s="423"/>
      <c r="J217" s="423"/>
      <c r="K217" s="423"/>
      <c r="L217" s="423"/>
      <c r="M217" s="423"/>
      <c r="N217" s="420"/>
      <c r="O217" s="420"/>
      <c r="P217" s="420"/>
      <c r="Q217" s="420"/>
      <c r="R217" s="420"/>
      <c r="S217" s="420"/>
      <c r="T217" s="420"/>
      <c r="U217" s="420"/>
      <c r="V217" s="420"/>
      <c r="W217" s="420"/>
      <c r="X217" s="420"/>
      <c r="Y217" s="420"/>
      <c r="Z217" s="420"/>
      <c r="AA217" s="312"/>
      <c r="AB217" s="312"/>
      <c r="AC217" s="312"/>
      <c r="AD217" s="312"/>
      <c r="AE217" s="312"/>
      <c r="AF217" s="312"/>
      <c r="AG217" s="312"/>
      <c r="AH217" s="312"/>
      <c r="AI217" s="312"/>
      <c r="AJ217" s="312"/>
      <c r="AK217" s="312"/>
      <c r="AL217" s="312"/>
      <c r="AM217" s="312"/>
      <c r="AN217" s="312"/>
      <c r="AO217" s="312"/>
      <c r="AP217" s="414"/>
      <c r="AQ217" s="414"/>
      <c r="AR217" s="414"/>
      <c r="AS217" s="414"/>
      <c r="AT217" s="415"/>
    </row>
    <row r="218" spans="1:46" ht="6.6" customHeight="1" thickBot="1" x14ac:dyDescent="0.25">
      <c r="A218" s="436"/>
      <c r="B218" s="437"/>
      <c r="C218" s="437"/>
      <c r="D218" s="437"/>
      <c r="E218" s="437"/>
      <c r="F218" s="437"/>
      <c r="G218" s="437"/>
      <c r="H218" s="437"/>
      <c r="I218" s="437"/>
      <c r="J218" s="437"/>
      <c r="K218" s="437"/>
      <c r="L218" s="437"/>
      <c r="M218" s="437"/>
      <c r="N218" s="421"/>
      <c r="O218" s="421"/>
      <c r="P218" s="421"/>
      <c r="Q218" s="421"/>
      <c r="R218" s="421"/>
      <c r="S218" s="421"/>
      <c r="T218" s="421"/>
      <c r="U218" s="421"/>
      <c r="V218" s="421"/>
      <c r="W218" s="421"/>
      <c r="X218" s="421"/>
      <c r="Y218" s="421"/>
      <c r="Z218" s="421"/>
      <c r="AA218" s="401"/>
      <c r="AB218" s="401"/>
      <c r="AC218" s="401"/>
      <c r="AD218" s="401"/>
      <c r="AE218" s="401"/>
      <c r="AF218" s="401"/>
      <c r="AG218" s="401"/>
      <c r="AH218" s="401"/>
      <c r="AI218" s="401"/>
      <c r="AJ218" s="401"/>
      <c r="AK218" s="401"/>
      <c r="AL218" s="401"/>
      <c r="AM218" s="401"/>
      <c r="AN218" s="401"/>
      <c r="AO218" s="401"/>
      <c r="AP218" s="418"/>
      <c r="AQ218" s="418"/>
      <c r="AR218" s="418"/>
      <c r="AS218" s="418"/>
      <c r="AT218" s="419"/>
    </row>
    <row r="219" spans="1:46" ht="6.6" customHeight="1" thickTop="1" x14ac:dyDescent="0.2">
      <c r="A219" s="219"/>
      <c r="B219" s="219"/>
      <c r="C219" s="219"/>
      <c r="D219" s="219"/>
      <c r="E219" s="219"/>
      <c r="F219" s="219"/>
      <c r="G219" s="219"/>
      <c r="H219" s="219"/>
      <c r="I219" s="219"/>
      <c r="J219" s="219"/>
      <c r="K219" s="219"/>
      <c r="L219" s="219"/>
      <c r="M219" s="219"/>
      <c r="N219" s="219"/>
      <c r="O219" s="219"/>
      <c r="P219" s="219"/>
      <c r="Q219" s="219"/>
      <c r="R219" s="219"/>
      <c r="S219" s="219"/>
      <c r="T219" s="219"/>
      <c r="U219" s="219"/>
      <c r="V219" s="219"/>
      <c r="W219" s="219"/>
      <c r="X219" s="219"/>
      <c r="Y219" s="219"/>
      <c r="Z219" s="219"/>
      <c r="AA219" s="219"/>
      <c r="AB219" s="219"/>
      <c r="AC219" s="219"/>
      <c r="AD219" s="219"/>
      <c r="AE219" s="219"/>
      <c r="AF219" s="219"/>
      <c r="AG219" s="219"/>
      <c r="AH219" s="219"/>
      <c r="AI219" s="219"/>
      <c r="AJ219" s="219"/>
      <c r="AK219" s="219"/>
      <c r="AL219" s="219"/>
      <c r="AM219" s="219"/>
    </row>
    <row r="220" spans="1:46" ht="6.6" customHeight="1" x14ac:dyDescent="0.2">
      <c r="A220" s="219" t="str">
        <f>IF(COUNT(T49:AT50)&gt;0,IF(AVERAGE(T49:AT50)&lt;=25,0.99,""),"")</f>
        <v/>
      </c>
      <c r="B220" s="219">
        <f>MAX(A219:A230)</f>
        <v>0</v>
      </c>
      <c r="C220" s="219"/>
      <c r="D220" s="219"/>
      <c r="E220" s="219"/>
      <c r="F220" s="219"/>
      <c r="G220" s="219"/>
      <c r="H220" s="219"/>
      <c r="I220" s="219"/>
      <c r="J220" s="219"/>
      <c r="K220" s="219"/>
      <c r="L220" s="219"/>
      <c r="M220" s="219"/>
      <c r="N220" s="219"/>
      <c r="O220" s="219"/>
      <c r="P220" s="219"/>
      <c r="Q220" s="219"/>
      <c r="R220" s="219"/>
      <c r="S220" s="219"/>
      <c r="T220" s="219"/>
      <c r="U220" s="219"/>
      <c r="V220" s="219"/>
      <c r="W220" s="219"/>
      <c r="X220" s="219"/>
      <c r="Y220" s="219"/>
      <c r="Z220" s="219"/>
      <c r="AA220" s="219"/>
      <c r="AB220" s="219"/>
      <c r="AC220" s="219"/>
      <c r="AD220" s="219"/>
      <c r="AE220" s="219"/>
      <c r="AF220" s="219"/>
      <c r="AG220" s="219"/>
      <c r="AH220" s="219"/>
      <c r="AI220" s="219"/>
      <c r="AJ220" s="219"/>
      <c r="AK220" s="219"/>
      <c r="AL220" s="219"/>
      <c r="AM220" s="219"/>
    </row>
    <row r="221" spans="1:46" ht="6.6" customHeight="1" x14ac:dyDescent="0.2">
      <c r="A221" s="219" t="str">
        <f>IF(COUNT(T49:AT50)&gt;0,IF(AND(AVERAGE(T49:AT50)&gt;=26, AVERAGE(T49:AT50)&lt;=30),0.98,""),"")</f>
        <v/>
      </c>
      <c r="B221" s="219"/>
      <c r="C221" s="219"/>
      <c r="D221" s="219"/>
      <c r="E221" s="219"/>
      <c r="F221" s="219"/>
      <c r="G221" s="219"/>
      <c r="H221" s="219"/>
      <c r="I221" s="219"/>
      <c r="J221" s="219"/>
      <c r="K221" s="219"/>
      <c r="L221" s="219"/>
      <c r="M221" s="219"/>
      <c r="N221" s="219"/>
      <c r="O221" s="219"/>
      <c r="P221" s="219"/>
      <c r="Q221" s="219"/>
      <c r="R221" s="219"/>
      <c r="S221" s="219"/>
      <c r="T221" s="219"/>
      <c r="U221" s="219"/>
      <c r="V221" s="219"/>
      <c r="W221" s="219"/>
      <c r="X221" s="219"/>
      <c r="Y221" s="219"/>
      <c r="Z221" s="219"/>
      <c r="AA221" s="219"/>
      <c r="AB221" s="219"/>
      <c r="AC221" s="219"/>
      <c r="AD221" s="219"/>
      <c r="AE221" s="219"/>
      <c r="AF221" s="219"/>
      <c r="AG221" s="219"/>
      <c r="AH221" s="219"/>
      <c r="AI221" s="219"/>
      <c r="AJ221" s="219"/>
      <c r="AK221" s="219"/>
      <c r="AL221" s="219"/>
      <c r="AM221" s="219"/>
    </row>
    <row r="222" spans="1:46" ht="6.6" customHeight="1" x14ac:dyDescent="0.2">
      <c r="A222" s="219" t="str">
        <f>IF(COUNT(T49:AT50)&gt;0,IF(AND(AVERAGE(T49:AT50)&gt;=31, AVERAGE(T49:AT50)&lt;=35),0.97,""),"")</f>
        <v/>
      </c>
      <c r="B222" s="219"/>
      <c r="C222" s="219"/>
      <c r="D222" s="219"/>
      <c r="E222" s="219"/>
      <c r="F222" s="219"/>
      <c r="G222" s="219"/>
      <c r="H222" s="219"/>
      <c r="I222" s="219"/>
      <c r="J222" s="219"/>
      <c r="K222" s="219"/>
      <c r="L222" s="219"/>
      <c r="M222" s="219"/>
      <c r="N222" s="219"/>
      <c r="O222" s="219"/>
      <c r="P222" s="219"/>
      <c r="Q222" s="219"/>
      <c r="R222" s="219"/>
      <c r="S222" s="219"/>
      <c r="T222" s="219"/>
      <c r="U222" s="219"/>
      <c r="V222" s="219"/>
      <c r="W222" s="219"/>
      <c r="X222" s="219"/>
      <c r="Y222" s="219"/>
      <c r="Z222" s="219"/>
      <c r="AA222" s="219"/>
      <c r="AB222" s="219"/>
      <c r="AC222" s="219"/>
      <c r="AD222" s="219"/>
      <c r="AE222" s="219"/>
      <c r="AF222" s="219"/>
      <c r="AG222" s="219"/>
      <c r="AH222" s="219"/>
      <c r="AI222" s="219"/>
      <c r="AJ222" s="219"/>
      <c r="AK222" s="219"/>
      <c r="AL222" s="219"/>
      <c r="AM222" s="219"/>
    </row>
    <row r="223" spans="1:46" ht="6.6" customHeight="1" x14ac:dyDescent="0.2">
      <c r="A223" s="219" t="str">
        <f>IF(COUNT(T49:AT50)&gt;0,IF(AND(AVERAGE(T49:AT50)&gt;=36, AVERAGE(T49:AT50)&lt;=40),0.96,""),"")</f>
        <v/>
      </c>
      <c r="B223" s="219"/>
      <c r="C223" s="219"/>
      <c r="D223" s="219"/>
      <c r="E223" s="219"/>
      <c r="F223" s="219"/>
      <c r="G223" s="219"/>
      <c r="H223" s="219"/>
      <c r="I223" s="219"/>
      <c r="J223" s="219"/>
      <c r="K223" s="219"/>
      <c r="L223" s="219"/>
      <c r="M223" s="219"/>
      <c r="N223" s="219"/>
      <c r="O223" s="219"/>
      <c r="P223" s="219"/>
      <c r="Q223" s="219"/>
      <c r="R223" s="219"/>
      <c r="S223" s="219"/>
      <c r="T223" s="219"/>
      <c r="U223" s="219"/>
      <c r="V223" s="219"/>
      <c r="W223" s="219"/>
      <c r="X223" s="219"/>
      <c r="Y223" s="219"/>
      <c r="Z223" s="219"/>
      <c r="AA223" s="219"/>
      <c r="AB223" s="219"/>
      <c r="AC223" s="219"/>
      <c r="AD223" s="219"/>
      <c r="AE223" s="219"/>
      <c r="AF223" s="219"/>
      <c r="AG223" s="219"/>
      <c r="AH223" s="219"/>
      <c r="AI223" s="219"/>
      <c r="AJ223" s="219"/>
      <c r="AK223" s="219"/>
      <c r="AL223" s="219"/>
      <c r="AM223" s="219"/>
    </row>
    <row r="224" spans="1:46" ht="6.6" customHeight="1" x14ac:dyDescent="0.2">
      <c r="A224" s="219" t="str">
        <f>IF(COUNT(T49:AT50)&gt;0,IF(AND(AVERAGE(T49:AT50)&gt;=41, AVERAGE(T49:AT50)&lt;=45),0.95,""),"")</f>
        <v/>
      </c>
      <c r="B224" s="219"/>
      <c r="C224" s="219"/>
      <c r="D224" s="219"/>
      <c r="E224" s="219"/>
      <c r="F224" s="219"/>
      <c r="G224" s="219"/>
      <c r="H224" s="219"/>
      <c r="I224" s="219"/>
      <c r="J224" s="219"/>
      <c r="K224" s="219"/>
      <c r="L224" s="219"/>
      <c r="M224" s="219"/>
      <c r="N224" s="219"/>
      <c r="O224" s="219"/>
      <c r="P224" s="219"/>
      <c r="Q224" s="219"/>
      <c r="R224" s="219"/>
      <c r="S224" s="219"/>
      <c r="T224" s="219"/>
      <c r="U224" s="219"/>
      <c r="V224" s="219"/>
      <c r="W224" s="219"/>
      <c r="X224" s="219"/>
      <c r="Y224" s="219"/>
      <c r="Z224" s="219"/>
      <c r="AA224" s="219"/>
      <c r="AB224" s="219"/>
      <c r="AC224" s="219"/>
      <c r="AD224" s="219"/>
      <c r="AE224" s="219"/>
      <c r="AF224" s="219"/>
      <c r="AG224" s="219"/>
      <c r="AH224" s="219"/>
      <c r="AI224" s="219"/>
      <c r="AJ224" s="219"/>
      <c r="AK224" s="219"/>
      <c r="AL224" s="219"/>
      <c r="AM224" s="219"/>
    </row>
    <row r="225" spans="1:39" ht="6.6" customHeight="1" x14ac:dyDescent="0.2">
      <c r="A225" s="219" t="str">
        <f>IF(COUNT(T49:AT50)&gt;0,IF(AND(AVERAGE(T49:AT50)&gt;=46, AVERAGE(T49:AT50)&lt;=50),0.94,""),"")</f>
        <v/>
      </c>
      <c r="B225" s="219"/>
      <c r="C225" s="219"/>
      <c r="D225" s="219"/>
      <c r="E225" s="219"/>
      <c r="F225" s="219"/>
      <c r="G225" s="219"/>
      <c r="H225" s="219"/>
      <c r="I225" s="219"/>
      <c r="J225" s="219"/>
      <c r="K225" s="219"/>
      <c r="L225" s="219"/>
      <c r="M225" s="219"/>
      <c r="N225" s="219"/>
      <c r="O225" s="219"/>
      <c r="P225" s="219"/>
      <c r="Q225" s="219"/>
      <c r="R225" s="219"/>
      <c r="S225" s="219"/>
      <c r="T225" s="219"/>
      <c r="U225" s="219"/>
      <c r="V225" s="219"/>
      <c r="W225" s="219"/>
      <c r="X225" s="219"/>
      <c r="Y225" s="219"/>
      <c r="Z225" s="219"/>
      <c r="AA225" s="219"/>
      <c r="AB225" s="219"/>
      <c r="AC225" s="219"/>
      <c r="AD225" s="219"/>
      <c r="AE225" s="219"/>
      <c r="AF225" s="219"/>
      <c r="AG225" s="219"/>
      <c r="AH225" s="219"/>
      <c r="AI225" s="219"/>
      <c r="AJ225" s="219"/>
      <c r="AK225" s="219"/>
      <c r="AL225" s="219"/>
      <c r="AM225" s="219"/>
    </row>
    <row r="226" spans="1:39" ht="6.6" customHeight="1" x14ac:dyDescent="0.2">
      <c r="A226" s="219" t="str">
        <f>IF(COUNT(T49:AT50)&gt;0,IF(AND(AVERAGE(T49:AT50)&gt;=51, AVERAGE(T49:AT50)&lt;=55),0.92,""),"")</f>
        <v/>
      </c>
      <c r="B226" s="219"/>
      <c r="C226" s="219"/>
      <c r="D226" s="219"/>
      <c r="E226" s="219"/>
      <c r="F226" s="219"/>
      <c r="G226" s="219"/>
      <c r="H226" s="219"/>
      <c r="I226" s="219"/>
      <c r="J226" s="219"/>
      <c r="K226" s="219"/>
      <c r="L226" s="219"/>
      <c r="M226" s="219"/>
      <c r="N226" s="219"/>
      <c r="O226" s="219"/>
      <c r="P226" s="219"/>
      <c r="Q226" s="219"/>
      <c r="R226" s="219"/>
      <c r="S226" s="219"/>
      <c r="T226" s="219"/>
      <c r="U226" s="219"/>
      <c r="V226" s="219"/>
      <c r="W226" s="219"/>
      <c r="X226" s="219"/>
      <c r="Y226" s="219"/>
      <c r="Z226" s="219"/>
      <c r="AA226" s="219"/>
      <c r="AB226" s="219"/>
      <c r="AC226" s="219"/>
      <c r="AD226" s="219"/>
      <c r="AE226" s="219"/>
      <c r="AF226" s="219"/>
      <c r="AG226" s="219"/>
      <c r="AH226" s="219"/>
      <c r="AI226" s="219"/>
      <c r="AJ226" s="219"/>
      <c r="AK226" s="219"/>
      <c r="AL226" s="219"/>
      <c r="AM226" s="219"/>
    </row>
    <row r="227" spans="1:39" ht="6.6" customHeight="1" x14ac:dyDescent="0.2">
      <c r="A227" s="219" t="str">
        <f>IF(COUNT(T49:AT50)&gt;0,IF(AVERAGE(T49:AT50)&gt;=56,0.89,""),"")</f>
        <v/>
      </c>
      <c r="B227" s="219"/>
      <c r="C227" s="219"/>
      <c r="D227" s="219"/>
      <c r="E227" s="219"/>
      <c r="F227" s="219"/>
      <c r="G227" s="219"/>
      <c r="H227" s="219"/>
      <c r="I227" s="219"/>
      <c r="J227" s="219"/>
      <c r="K227" s="219"/>
      <c r="L227" s="219"/>
      <c r="M227" s="219"/>
      <c r="N227" s="219"/>
      <c r="O227" s="219"/>
      <c r="P227" s="219"/>
      <c r="Q227" s="219"/>
      <c r="R227" s="219"/>
      <c r="S227" s="219"/>
      <c r="T227" s="219"/>
      <c r="U227" s="219"/>
      <c r="V227" s="219"/>
      <c r="W227" s="219"/>
      <c r="X227" s="219"/>
      <c r="Y227" s="219"/>
      <c r="Z227" s="219"/>
      <c r="AA227" s="219"/>
      <c r="AB227" s="219"/>
      <c r="AC227" s="219"/>
      <c r="AD227" s="219"/>
      <c r="AE227" s="219"/>
      <c r="AF227" s="219"/>
      <c r="AG227" s="219"/>
      <c r="AH227" s="219"/>
      <c r="AI227" s="219"/>
      <c r="AJ227" s="219"/>
      <c r="AK227" s="219"/>
      <c r="AL227" s="219"/>
      <c r="AM227" s="219"/>
    </row>
    <row r="228" spans="1:39" ht="6.6" customHeight="1" x14ac:dyDescent="0.2">
      <c r="A228" s="219"/>
      <c r="B228" s="219"/>
      <c r="C228" s="219"/>
      <c r="D228" s="219"/>
      <c r="E228" s="219"/>
      <c r="F228" s="219"/>
      <c r="G228" s="219"/>
      <c r="H228" s="219"/>
      <c r="I228" s="219"/>
      <c r="J228" s="219"/>
      <c r="K228" s="219"/>
      <c r="L228" s="219"/>
      <c r="M228" s="219"/>
      <c r="N228" s="219"/>
      <c r="O228" s="219"/>
      <c r="P228" s="219"/>
      <c r="Q228" s="219"/>
      <c r="R228" s="219"/>
      <c r="S228" s="219"/>
      <c r="T228" s="219"/>
      <c r="U228" s="219"/>
      <c r="V228" s="219"/>
      <c r="W228" s="219"/>
      <c r="X228" s="219"/>
      <c r="Y228" s="219"/>
      <c r="Z228" s="219"/>
      <c r="AA228" s="219"/>
      <c r="AB228" s="219"/>
      <c r="AC228" s="219"/>
      <c r="AD228" s="219"/>
      <c r="AE228" s="219"/>
      <c r="AF228" s="219"/>
      <c r="AG228" s="219"/>
      <c r="AH228" s="219"/>
      <c r="AI228" s="219"/>
      <c r="AJ228" s="219"/>
      <c r="AK228" s="219"/>
      <c r="AL228" s="219"/>
      <c r="AM228" s="219"/>
    </row>
    <row r="229" spans="1:39" ht="6.6" customHeight="1" x14ac:dyDescent="0.2">
      <c r="A229" s="219"/>
      <c r="B229" s="219"/>
      <c r="C229" s="219"/>
      <c r="D229" s="219"/>
      <c r="E229" s="219"/>
      <c r="F229" s="219"/>
      <c r="G229" s="219"/>
      <c r="H229" s="219"/>
      <c r="I229" s="219"/>
      <c r="J229" s="219"/>
      <c r="K229" s="219"/>
      <c r="L229" s="219"/>
      <c r="M229" s="219"/>
      <c r="N229" s="219"/>
      <c r="O229" s="219"/>
      <c r="P229" s="219"/>
      <c r="Q229" s="219"/>
      <c r="R229" s="219"/>
      <c r="S229" s="219"/>
      <c r="T229" s="219"/>
      <c r="U229" s="219"/>
      <c r="V229" s="219"/>
      <c r="W229" s="219"/>
      <c r="X229" s="219"/>
      <c r="Y229" s="219"/>
      <c r="Z229" s="219"/>
      <c r="AA229" s="219"/>
      <c r="AB229" s="219"/>
      <c r="AC229" s="219"/>
      <c r="AD229" s="219"/>
      <c r="AE229" s="219"/>
      <c r="AF229" s="219"/>
      <c r="AG229" s="219"/>
      <c r="AH229" s="219"/>
      <c r="AI229" s="219"/>
      <c r="AJ229" s="219"/>
      <c r="AK229" s="219"/>
      <c r="AL229" s="219"/>
      <c r="AM229" s="219"/>
    </row>
    <row r="230" spans="1:39" ht="6.6" customHeight="1" x14ac:dyDescent="0.2">
      <c r="A230" s="219"/>
      <c r="B230" s="219"/>
      <c r="C230" s="219"/>
      <c r="D230" s="219"/>
      <c r="E230" s="219"/>
      <c r="F230" s="219"/>
      <c r="G230" s="219"/>
      <c r="H230" s="219"/>
      <c r="I230" s="219"/>
      <c r="J230" s="219"/>
      <c r="K230" s="219"/>
      <c r="L230" s="219"/>
      <c r="M230" s="219"/>
      <c r="N230" s="219"/>
      <c r="O230" s="219"/>
      <c r="P230" s="219"/>
      <c r="Q230" s="219"/>
      <c r="R230" s="219"/>
      <c r="S230" s="219"/>
      <c r="T230" s="219"/>
      <c r="U230" s="219"/>
      <c r="V230" s="219"/>
      <c r="W230" s="219"/>
      <c r="X230" s="219"/>
      <c r="Y230" s="219"/>
      <c r="Z230" s="219"/>
      <c r="AA230" s="219"/>
      <c r="AB230" s="219"/>
      <c r="AC230" s="219"/>
      <c r="AD230" s="219"/>
      <c r="AE230" s="219"/>
      <c r="AF230" s="219"/>
      <c r="AG230" s="219"/>
      <c r="AH230" s="219"/>
      <c r="AI230" s="219"/>
      <c r="AJ230" s="219"/>
      <c r="AK230" s="219"/>
      <c r="AL230" s="219"/>
      <c r="AM230" s="219"/>
    </row>
    <row r="231" spans="1:39" ht="6.6" customHeight="1" x14ac:dyDescent="0.2">
      <c r="A231" s="219"/>
      <c r="B231" s="219"/>
      <c r="C231" s="219"/>
      <c r="D231" s="219"/>
      <c r="E231" s="219"/>
      <c r="F231" s="219"/>
      <c r="G231" s="219"/>
      <c r="H231" s="219"/>
      <c r="I231" s="219"/>
      <c r="J231" s="219"/>
      <c r="K231" s="219"/>
      <c r="L231" s="219"/>
      <c r="M231" s="219"/>
      <c r="N231" s="219"/>
      <c r="O231" s="219"/>
      <c r="P231" s="219"/>
      <c r="Q231" s="219"/>
      <c r="R231" s="219"/>
      <c r="S231" s="219"/>
      <c r="T231" s="219"/>
      <c r="U231" s="219"/>
      <c r="V231" s="219"/>
      <c r="W231" s="219"/>
      <c r="X231" s="219"/>
      <c r="Y231" s="219"/>
      <c r="Z231" s="219"/>
      <c r="AA231" s="219"/>
      <c r="AB231" s="219"/>
      <c r="AC231" s="219"/>
      <c r="AD231" s="219"/>
      <c r="AE231" s="219"/>
      <c r="AF231" s="219"/>
      <c r="AG231" s="219"/>
      <c r="AH231" s="219"/>
      <c r="AI231" s="219"/>
      <c r="AJ231" s="219"/>
      <c r="AK231" s="219"/>
      <c r="AL231" s="219"/>
      <c r="AM231" s="219"/>
    </row>
    <row r="232" spans="1:39" ht="6.6" customHeight="1" x14ac:dyDescent="0.2">
      <c r="A232" s="219"/>
      <c r="B232" s="219"/>
      <c r="C232" s="219"/>
      <c r="D232" s="219"/>
      <c r="E232" s="219"/>
      <c r="F232" s="219"/>
      <c r="G232" s="219"/>
      <c r="H232" s="219"/>
      <c r="I232" s="219"/>
      <c r="J232" s="219"/>
      <c r="K232" s="219"/>
      <c r="L232" s="219"/>
      <c r="M232" s="219"/>
      <c r="N232" s="219"/>
      <c r="O232" s="219"/>
      <c r="P232" s="219"/>
      <c r="Q232" s="219"/>
      <c r="R232" s="219"/>
      <c r="S232" s="219"/>
      <c r="T232" s="219"/>
      <c r="U232" s="219"/>
      <c r="V232" s="219"/>
      <c r="W232" s="219"/>
      <c r="X232" s="219"/>
      <c r="Y232" s="219"/>
      <c r="Z232" s="219"/>
      <c r="AA232" s="219"/>
      <c r="AB232" s="219"/>
      <c r="AC232" s="219"/>
      <c r="AD232" s="219"/>
      <c r="AE232" s="219"/>
      <c r="AF232" s="219"/>
      <c r="AG232" s="219"/>
      <c r="AH232" s="219"/>
      <c r="AI232" s="219"/>
      <c r="AJ232" s="219"/>
      <c r="AK232" s="219"/>
      <c r="AL232" s="219"/>
      <c r="AM232" s="219"/>
    </row>
    <row r="233" spans="1:39" ht="6.6" customHeight="1" x14ac:dyDescent="0.2">
      <c r="A233" s="219"/>
      <c r="B233" s="219"/>
      <c r="C233" s="219"/>
      <c r="D233" s="219"/>
      <c r="E233" s="219"/>
      <c r="F233" s="219"/>
      <c r="G233" s="219"/>
      <c r="H233" s="219"/>
      <c r="I233" s="219"/>
      <c r="J233" s="219"/>
      <c r="K233" s="219"/>
      <c r="L233" s="219"/>
      <c r="M233" s="219"/>
      <c r="N233" s="219"/>
      <c r="O233" s="219"/>
      <c r="P233" s="219"/>
      <c r="Q233" s="219"/>
      <c r="R233" s="219"/>
      <c r="S233" s="219"/>
      <c r="T233" s="219"/>
      <c r="U233" s="219"/>
      <c r="V233" s="219"/>
      <c r="W233" s="219"/>
      <c r="X233" s="219"/>
      <c r="Y233" s="219"/>
      <c r="Z233" s="219"/>
      <c r="AA233" s="219"/>
      <c r="AB233" s="219"/>
      <c r="AC233" s="219"/>
      <c r="AD233" s="219"/>
      <c r="AE233" s="219"/>
      <c r="AF233" s="219"/>
      <c r="AG233" s="219"/>
      <c r="AH233" s="219"/>
      <c r="AI233" s="219"/>
      <c r="AJ233" s="219"/>
      <c r="AK233" s="219"/>
      <c r="AL233" s="219"/>
      <c r="AM233" s="219"/>
    </row>
    <row r="234" spans="1:39" ht="6.6" customHeight="1" x14ac:dyDescent="0.2">
      <c r="A234" s="219"/>
      <c r="B234" s="219"/>
      <c r="C234" s="219"/>
      <c r="D234" s="219"/>
      <c r="E234" s="219"/>
      <c r="F234" s="219"/>
      <c r="G234" s="219"/>
      <c r="H234" s="219"/>
      <c r="I234" s="219"/>
      <c r="J234" s="219"/>
      <c r="K234" s="219"/>
      <c r="L234" s="219"/>
      <c r="M234" s="219"/>
      <c r="N234" s="219"/>
      <c r="O234" s="219"/>
      <c r="P234" s="219"/>
      <c r="Q234" s="219"/>
      <c r="R234" s="219"/>
      <c r="S234" s="219"/>
      <c r="T234" s="219"/>
      <c r="U234" s="219"/>
      <c r="V234" s="219"/>
      <c r="W234" s="219"/>
      <c r="X234" s="219"/>
      <c r="Y234" s="219"/>
      <c r="Z234" s="219"/>
      <c r="AA234" s="219"/>
      <c r="AB234" s="219"/>
      <c r="AC234" s="219"/>
      <c r="AD234" s="219"/>
      <c r="AE234" s="219"/>
      <c r="AF234" s="219"/>
      <c r="AG234" s="219"/>
      <c r="AH234" s="219"/>
      <c r="AI234" s="219"/>
      <c r="AJ234" s="219"/>
      <c r="AK234" s="219"/>
      <c r="AL234" s="219"/>
      <c r="AM234" s="219"/>
    </row>
    <row r="235" spans="1:39" ht="6.6" customHeight="1" x14ac:dyDescent="0.2">
      <c r="A235" s="219"/>
      <c r="B235" s="219"/>
      <c r="C235" s="219"/>
      <c r="D235" s="219"/>
      <c r="E235" s="219"/>
      <c r="F235" s="219"/>
      <c r="G235" s="219"/>
      <c r="H235" s="219"/>
      <c r="I235" s="219"/>
      <c r="J235" s="219"/>
      <c r="K235" s="219"/>
      <c r="L235" s="219"/>
      <c r="M235" s="219"/>
      <c r="N235" s="219"/>
      <c r="O235" s="219"/>
      <c r="P235" s="219"/>
      <c r="Q235" s="219"/>
      <c r="R235" s="219"/>
      <c r="S235" s="219"/>
      <c r="T235" s="219"/>
      <c r="U235" s="219"/>
      <c r="V235" s="219"/>
      <c r="W235" s="219"/>
      <c r="X235" s="219"/>
      <c r="Y235" s="219"/>
      <c r="Z235" s="219"/>
      <c r="AA235" s="219"/>
      <c r="AB235" s="219"/>
      <c r="AC235" s="219"/>
      <c r="AD235" s="219"/>
      <c r="AE235" s="219"/>
      <c r="AF235" s="219"/>
      <c r="AG235" s="219"/>
      <c r="AH235" s="219"/>
      <c r="AI235" s="219"/>
      <c r="AJ235" s="219"/>
      <c r="AK235" s="219"/>
      <c r="AL235" s="219"/>
      <c r="AM235" s="219"/>
    </row>
    <row r="236" spans="1:39" ht="6.6" customHeight="1" x14ac:dyDescent="0.2">
      <c r="A236" s="219"/>
      <c r="B236" s="219"/>
      <c r="C236" s="219"/>
      <c r="D236" s="219"/>
      <c r="E236" s="219"/>
      <c r="F236" s="219"/>
      <c r="G236" s="219"/>
      <c r="H236" s="219"/>
      <c r="I236" s="219"/>
      <c r="J236" s="219"/>
      <c r="K236" s="219"/>
      <c r="L236" s="219"/>
      <c r="M236" s="219"/>
      <c r="N236" s="219"/>
      <c r="O236" s="219"/>
      <c r="P236" s="219"/>
      <c r="Q236" s="219"/>
      <c r="R236" s="219"/>
      <c r="S236" s="219"/>
      <c r="T236" s="219"/>
      <c r="U236" s="219"/>
      <c r="V236" s="219"/>
      <c r="W236" s="219"/>
      <c r="X236" s="219"/>
      <c r="Y236" s="219"/>
      <c r="Z236" s="219"/>
      <c r="AA236" s="219"/>
      <c r="AB236" s="219"/>
      <c r="AC236" s="219"/>
      <c r="AD236" s="219"/>
      <c r="AE236" s="219"/>
      <c r="AF236" s="219"/>
      <c r="AG236" s="219"/>
      <c r="AH236" s="219"/>
      <c r="AI236" s="219"/>
      <c r="AJ236" s="219"/>
      <c r="AK236" s="219"/>
      <c r="AL236" s="219"/>
      <c r="AM236" s="219"/>
    </row>
    <row r="237" spans="1:39" ht="6.6" customHeight="1" x14ac:dyDescent="0.2">
      <c r="A237" s="219"/>
      <c r="B237" s="219"/>
      <c r="C237" s="219"/>
      <c r="D237" s="219"/>
      <c r="E237" s="219"/>
      <c r="F237" s="219"/>
      <c r="G237" s="219"/>
      <c r="H237" s="219"/>
      <c r="I237" s="219"/>
      <c r="J237" s="219"/>
      <c r="K237" s="219"/>
      <c r="L237" s="219"/>
      <c r="M237" s="219"/>
      <c r="N237" s="219"/>
      <c r="O237" s="219"/>
      <c r="P237" s="219"/>
      <c r="Q237" s="219"/>
      <c r="R237" s="219"/>
      <c r="S237" s="219"/>
      <c r="T237" s="219"/>
      <c r="U237" s="219"/>
      <c r="V237" s="219"/>
      <c r="W237" s="219"/>
      <c r="X237" s="219"/>
      <c r="Y237" s="219"/>
      <c r="Z237" s="219"/>
      <c r="AA237" s="219"/>
      <c r="AB237" s="219"/>
      <c r="AC237" s="219"/>
      <c r="AD237" s="219"/>
      <c r="AE237" s="219"/>
      <c r="AF237" s="219"/>
      <c r="AG237" s="219"/>
      <c r="AH237" s="219"/>
      <c r="AI237" s="219"/>
      <c r="AJ237" s="219"/>
      <c r="AK237" s="219"/>
      <c r="AL237" s="219"/>
      <c r="AM237" s="219"/>
    </row>
    <row r="238" spans="1:39" ht="6.6" customHeight="1" x14ac:dyDescent="0.2">
      <c r="A238" s="219"/>
      <c r="B238" s="219"/>
      <c r="C238" s="219"/>
      <c r="D238" s="219"/>
      <c r="E238" s="219"/>
      <c r="F238" s="219"/>
      <c r="G238" s="219"/>
      <c r="H238" s="219"/>
      <c r="I238" s="219"/>
      <c r="J238" s="219"/>
      <c r="K238" s="219"/>
      <c r="L238" s="219"/>
      <c r="M238" s="219"/>
      <c r="N238" s="219"/>
      <c r="O238" s="219"/>
      <c r="P238" s="219"/>
      <c r="Q238" s="219"/>
      <c r="R238" s="219"/>
      <c r="S238" s="219"/>
      <c r="T238" s="219"/>
      <c r="U238" s="219"/>
      <c r="V238" s="219"/>
      <c r="W238" s="219"/>
      <c r="X238" s="219"/>
      <c r="Y238" s="219"/>
      <c r="Z238" s="219"/>
      <c r="AA238" s="219"/>
      <c r="AB238" s="219"/>
      <c r="AC238" s="219"/>
      <c r="AD238" s="219"/>
      <c r="AE238" s="219"/>
      <c r="AF238" s="219"/>
      <c r="AG238" s="219"/>
      <c r="AH238" s="219"/>
      <c r="AI238" s="219"/>
      <c r="AJ238" s="219"/>
      <c r="AK238" s="219"/>
      <c r="AL238" s="219"/>
      <c r="AM238" s="219"/>
    </row>
    <row r="239" spans="1:39" ht="6.6" customHeight="1" x14ac:dyDescent="0.2">
      <c r="A239" s="219"/>
      <c r="B239" s="219"/>
      <c r="C239" s="219"/>
      <c r="D239" s="219"/>
      <c r="E239" s="219"/>
      <c r="F239" s="219"/>
      <c r="G239" s="219"/>
      <c r="H239" s="219"/>
      <c r="I239" s="219"/>
      <c r="J239" s="219"/>
      <c r="K239" s="219"/>
      <c r="L239" s="219"/>
      <c r="M239" s="219"/>
      <c r="N239" s="219"/>
      <c r="O239" s="219"/>
      <c r="P239" s="219"/>
      <c r="Q239" s="219"/>
      <c r="R239" s="219"/>
      <c r="S239" s="219"/>
      <c r="T239" s="219"/>
      <c r="U239" s="219"/>
      <c r="V239" s="219"/>
      <c r="W239" s="219"/>
      <c r="X239" s="219"/>
      <c r="Y239" s="219"/>
      <c r="Z239" s="219"/>
      <c r="AA239" s="219"/>
      <c r="AB239" s="219"/>
      <c r="AC239" s="219"/>
      <c r="AD239" s="219"/>
      <c r="AE239" s="219"/>
      <c r="AF239" s="219"/>
      <c r="AG239" s="219"/>
      <c r="AH239" s="219"/>
      <c r="AI239" s="219"/>
      <c r="AJ239" s="219"/>
      <c r="AK239" s="219"/>
      <c r="AL239" s="219"/>
      <c r="AM239" s="219"/>
    </row>
    <row r="240" spans="1:39" ht="6.6" customHeight="1" x14ac:dyDescent="0.2">
      <c r="A240" s="219"/>
      <c r="B240" s="219"/>
      <c r="C240" s="219"/>
      <c r="D240" s="219"/>
      <c r="E240" s="219"/>
      <c r="F240" s="219"/>
      <c r="G240" s="219"/>
      <c r="H240" s="219"/>
      <c r="I240" s="219"/>
      <c r="J240" s="219"/>
      <c r="K240" s="219"/>
      <c r="L240" s="219"/>
      <c r="M240" s="219"/>
      <c r="N240" s="219"/>
      <c r="O240" s="219"/>
      <c r="P240" s="219"/>
      <c r="Q240" s="219"/>
      <c r="R240" s="219"/>
      <c r="S240" s="219"/>
      <c r="T240" s="219"/>
      <c r="U240" s="219"/>
      <c r="V240" s="219"/>
      <c r="W240" s="219"/>
      <c r="X240" s="219"/>
      <c r="Y240" s="219"/>
      <c r="Z240" s="219"/>
      <c r="AA240" s="219"/>
      <c r="AB240" s="219"/>
      <c r="AC240" s="219"/>
      <c r="AD240" s="219"/>
      <c r="AE240" s="219"/>
      <c r="AF240" s="219"/>
      <c r="AG240" s="219"/>
      <c r="AH240" s="219"/>
      <c r="AI240" s="219"/>
      <c r="AJ240" s="219"/>
      <c r="AK240" s="219"/>
      <c r="AL240" s="219"/>
      <c r="AM240" s="219"/>
    </row>
    <row r="241" spans="1:39" ht="6.6" customHeight="1" x14ac:dyDescent="0.2">
      <c r="A241" s="219"/>
      <c r="B241" s="219"/>
      <c r="C241" s="219"/>
      <c r="D241" s="219"/>
      <c r="E241" s="219"/>
      <c r="F241" s="219"/>
      <c r="G241" s="219"/>
      <c r="H241" s="219"/>
      <c r="I241" s="219"/>
      <c r="J241" s="219"/>
      <c r="K241" s="219"/>
      <c r="L241" s="219"/>
      <c r="M241" s="219"/>
      <c r="N241" s="219"/>
      <c r="O241" s="219"/>
      <c r="P241" s="219"/>
      <c r="Q241" s="219"/>
      <c r="R241" s="219"/>
      <c r="S241" s="219"/>
      <c r="T241" s="219"/>
      <c r="U241" s="219"/>
      <c r="V241" s="219"/>
      <c r="W241" s="219"/>
      <c r="X241" s="219"/>
      <c r="Y241" s="219"/>
      <c r="Z241" s="219"/>
      <c r="AA241" s="219"/>
      <c r="AB241" s="219"/>
      <c r="AC241" s="219"/>
      <c r="AD241" s="219"/>
      <c r="AE241" s="219"/>
      <c r="AF241" s="219"/>
      <c r="AG241" s="219"/>
      <c r="AH241" s="219"/>
      <c r="AI241" s="219"/>
      <c r="AJ241" s="219"/>
      <c r="AK241" s="219"/>
      <c r="AL241" s="219"/>
      <c r="AM241" s="219"/>
    </row>
    <row r="242" spans="1:39" ht="6.6" customHeight="1" x14ac:dyDescent="0.2">
      <c r="A242" s="219"/>
      <c r="B242" s="219"/>
      <c r="C242" s="219"/>
      <c r="D242" s="219"/>
      <c r="E242" s="219"/>
      <c r="F242" s="219"/>
      <c r="G242" s="219"/>
      <c r="H242" s="219"/>
      <c r="I242" s="219"/>
      <c r="J242" s="219"/>
      <c r="K242" s="219"/>
      <c r="L242" s="219"/>
      <c r="M242" s="219"/>
      <c r="N242" s="219"/>
      <c r="O242" s="219"/>
      <c r="P242" s="219"/>
      <c r="Q242" s="219"/>
      <c r="R242" s="219"/>
      <c r="S242" s="219"/>
      <c r="T242" s="219"/>
      <c r="U242" s="219"/>
      <c r="V242" s="219"/>
      <c r="W242" s="219"/>
      <c r="X242" s="219"/>
      <c r="Y242" s="219"/>
      <c r="Z242" s="219"/>
      <c r="AA242" s="219"/>
      <c r="AB242" s="219"/>
      <c r="AC242" s="219"/>
      <c r="AD242" s="219"/>
      <c r="AE242" s="219"/>
      <c r="AF242" s="219"/>
      <c r="AG242" s="219"/>
      <c r="AH242" s="219"/>
      <c r="AI242" s="219"/>
      <c r="AJ242" s="219"/>
      <c r="AK242" s="219"/>
      <c r="AL242" s="219"/>
      <c r="AM242" s="219"/>
    </row>
    <row r="243" spans="1:39" ht="6.6" customHeight="1" x14ac:dyDescent="0.2">
      <c r="A243" s="219"/>
      <c r="B243" s="219"/>
      <c r="C243" s="219"/>
      <c r="D243" s="219"/>
      <c r="E243" s="219"/>
      <c r="F243" s="219"/>
      <c r="G243" s="219"/>
      <c r="H243" s="219"/>
      <c r="I243" s="219"/>
      <c r="J243" s="219"/>
      <c r="K243" s="219"/>
      <c r="L243" s="219"/>
      <c r="M243" s="219"/>
      <c r="N243" s="219"/>
      <c r="O243" s="219"/>
      <c r="P243" s="219"/>
      <c r="Q243" s="219"/>
      <c r="R243" s="219"/>
      <c r="S243" s="219"/>
      <c r="T243" s="219"/>
      <c r="U243" s="219"/>
      <c r="V243" s="219"/>
      <c r="W243" s="219"/>
      <c r="X243" s="219"/>
      <c r="Y243" s="219"/>
      <c r="Z243" s="219"/>
      <c r="AA243" s="219"/>
      <c r="AB243" s="219"/>
      <c r="AC243" s="219"/>
      <c r="AD243" s="219"/>
      <c r="AE243" s="219"/>
      <c r="AF243" s="219"/>
      <c r="AG243" s="219"/>
      <c r="AH243" s="219"/>
      <c r="AI243" s="219"/>
      <c r="AJ243" s="219"/>
      <c r="AK243" s="219"/>
      <c r="AL243" s="219"/>
      <c r="AM243" s="219"/>
    </row>
    <row r="244" spans="1:39" ht="6.6" customHeight="1" x14ac:dyDescent="0.2">
      <c r="A244" s="219"/>
      <c r="B244" s="219"/>
      <c r="C244" s="219"/>
      <c r="D244" s="219"/>
      <c r="E244" s="219"/>
      <c r="F244" s="219"/>
      <c r="G244" s="219"/>
      <c r="H244" s="219"/>
      <c r="I244" s="219"/>
      <c r="J244" s="219"/>
      <c r="K244" s="219"/>
      <c r="L244" s="219"/>
      <c r="M244" s="219"/>
      <c r="N244" s="219"/>
      <c r="O244" s="219"/>
      <c r="P244" s="219"/>
      <c r="Q244" s="219"/>
      <c r="R244" s="219"/>
      <c r="S244" s="219"/>
      <c r="T244" s="219"/>
      <c r="U244" s="219"/>
      <c r="V244" s="219"/>
      <c r="W244" s="219"/>
      <c r="X244" s="219"/>
      <c r="Y244" s="219"/>
      <c r="Z244" s="219"/>
      <c r="AA244" s="219"/>
      <c r="AB244" s="219"/>
      <c r="AC244" s="219"/>
      <c r="AD244" s="219"/>
      <c r="AE244" s="219"/>
      <c r="AF244" s="219"/>
      <c r="AG244" s="219"/>
      <c r="AH244" s="219"/>
      <c r="AI244" s="219"/>
      <c r="AJ244" s="219"/>
      <c r="AK244" s="219"/>
      <c r="AL244" s="219"/>
      <c r="AM244" s="219"/>
    </row>
    <row r="245" spans="1:39" ht="6.6" customHeight="1" x14ac:dyDescent="0.2">
      <c r="A245" s="219"/>
      <c r="B245" s="219"/>
      <c r="C245" s="219"/>
      <c r="D245" s="219"/>
      <c r="E245" s="219"/>
      <c r="F245" s="219"/>
      <c r="G245" s="219"/>
      <c r="H245" s="219"/>
      <c r="I245" s="219"/>
      <c r="J245" s="219"/>
      <c r="K245" s="219"/>
      <c r="L245" s="219"/>
      <c r="M245" s="219"/>
      <c r="N245" s="219"/>
      <c r="O245" s="219"/>
      <c r="P245" s="219"/>
      <c r="Q245" s="219"/>
      <c r="R245" s="219"/>
      <c r="S245" s="219"/>
      <c r="T245" s="219"/>
      <c r="U245" s="219"/>
      <c r="V245" s="219"/>
      <c r="W245" s="219"/>
      <c r="X245" s="219"/>
      <c r="Y245" s="219"/>
      <c r="Z245" s="219"/>
      <c r="AA245" s="219"/>
      <c r="AB245" s="219"/>
      <c r="AC245" s="219"/>
      <c r="AD245" s="219"/>
      <c r="AE245" s="219"/>
      <c r="AF245" s="219"/>
      <c r="AG245" s="219"/>
      <c r="AH245" s="219"/>
      <c r="AI245" s="219"/>
      <c r="AJ245" s="219"/>
      <c r="AK245" s="219"/>
      <c r="AL245" s="219"/>
      <c r="AM245" s="219"/>
    </row>
    <row r="246" spans="1:39" ht="6.6" customHeight="1" x14ac:dyDescent="0.2">
      <c r="A246" s="219"/>
      <c r="B246" s="219"/>
      <c r="C246" s="219"/>
      <c r="D246" s="219"/>
      <c r="E246" s="219"/>
      <c r="F246" s="219"/>
      <c r="G246" s="219"/>
      <c r="H246" s="219"/>
      <c r="I246" s="219"/>
      <c r="J246" s="219"/>
      <c r="K246" s="219"/>
      <c r="L246" s="219"/>
      <c r="M246" s="219"/>
      <c r="N246" s="219"/>
      <c r="O246" s="219"/>
      <c r="P246" s="219"/>
      <c r="Q246" s="219"/>
      <c r="R246" s="219"/>
      <c r="S246" s="219"/>
      <c r="T246" s="219"/>
      <c r="U246" s="219"/>
      <c r="V246" s="219"/>
      <c r="W246" s="219"/>
      <c r="X246" s="219"/>
      <c r="Y246" s="219"/>
      <c r="Z246" s="219"/>
      <c r="AA246" s="219"/>
      <c r="AB246" s="219"/>
      <c r="AC246" s="219"/>
      <c r="AD246" s="219"/>
      <c r="AE246" s="219"/>
      <c r="AF246" s="219"/>
      <c r="AG246" s="219"/>
      <c r="AH246" s="219"/>
      <c r="AI246" s="219"/>
      <c r="AJ246" s="219"/>
      <c r="AK246" s="219"/>
      <c r="AL246" s="219"/>
      <c r="AM246" s="219"/>
    </row>
    <row r="247" spans="1:39" ht="6.6" customHeight="1" x14ac:dyDescent="0.2">
      <c r="A247" s="219"/>
      <c r="B247" s="219"/>
      <c r="C247" s="219"/>
      <c r="D247" s="219"/>
      <c r="E247" s="219"/>
      <c r="F247" s="219"/>
      <c r="G247" s="219"/>
      <c r="H247" s="219"/>
      <c r="I247" s="219"/>
      <c r="J247" s="219"/>
      <c r="K247" s="219"/>
      <c r="L247" s="219"/>
      <c r="M247" s="219"/>
      <c r="N247" s="219"/>
      <c r="O247" s="219"/>
      <c r="P247" s="219"/>
      <c r="Q247" s="219"/>
      <c r="R247" s="219"/>
      <c r="S247" s="219"/>
      <c r="T247" s="219"/>
      <c r="U247" s="219"/>
      <c r="V247" s="219"/>
      <c r="W247" s="219"/>
      <c r="X247" s="219"/>
      <c r="Y247" s="219"/>
      <c r="Z247" s="219"/>
      <c r="AA247" s="219"/>
      <c r="AB247" s="219"/>
      <c r="AC247" s="219"/>
      <c r="AD247" s="219"/>
      <c r="AE247" s="219"/>
      <c r="AF247" s="219"/>
      <c r="AG247" s="219"/>
      <c r="AH247" s="219"/>
      <c r="AI247" s="219"/>
      <c r="AJ247" s="219"/>
      <c r="AK247" s="219"/>
      <c r="AL247" s="219"/>
      <c r="AM247" s="219"/>
    </row>
    <row r="248" spans="1:39" ht="6.6" customHeight="1" x14ac:dyDescent="0.2">
      <c r="A248" s="219"/>
      <c r="B248" s="219"/>
      <c r="C248" s="219"/>
      <c r="D248" s="219"/>
      <c r="E248" s="219"/>
      <c r="F248" s="219"/>
      <c r="G248" s="219"/>
      <c r="H248" s="219"/>
      <c r="I248" s="219"/>
      <c r="J248" s="219"/>
      <c r="K248" s="219"/>
      <c r="L248" s="219"/>
      <c r="M248" s="219"/>
      <c r="N248" s="219"/>
      <c r="O248" s="219"/>
      <c r="P248" s="219"/>
      <c r="Q248" s="219"/>
      <c r="R248" s="219"/>
      <c r="S248" s="219"/>
      <c r="T248" s="219"/>
      <c r="U248" s="219"/>
      <c r="V248" s="219"/>
      <c r="W248" s="219"/>
      <c r="X248" s="219"/>
      <c r="Y248" s="219"/>
      <c r="Z248" s="219"/>
      <c r="AA248" s="219"/>
      <c r="AB248" s="219"/>
      <c r="AC248" s="219"/>
      <c r="AD248" s="219"/>
      <c r="AE248" s="219"/>
      <c r="AF248" s="219"/>
      <c r="AG248" s="219"/>
      <c r="AH248" s="219"/>
      <c r="AI248" s="219"/>
      <c r="AJ248" s="219"/>
      <c r="AK248" s="219"/>
      <c r="AL248" s="219"/>
      <c r="AM248" s="219"/>
    </row>
    <row r="249" spans="1:39" ht="6.6" customHeight="1" x14ac:dyDescent="0.2">
      <c r="A249" s="219"/>
      <c r="B249" s="219"/>
      <c r="C249" s="219"/>
      <c r="D249" s="219"/>
      <c r="E249" s="219"/>
      <c r="F249" s="219"/>
      <c r="G249" s="219"/>
      <c r="H249" s="219"/>
      <c r="I249" s="219"/>
      <c r="J249" s="219"/>
      <c r="K249" s="219"/>
      <c r="L249" s="219"/>
      <c r="M249" s="219"/>
      <c r="N249" s="219"/>
      <c r="O249" s="219"/>
      <c r="P249" s="219"/>
      <c r="Q249" s="219"/>
      <c r="R249" s="219"/>
      <c r="S249" s="219"/>
      <c r="T249" s="219"/>
      <c r="U249" s="219"/>
      <c r="V249" s="219"/>
      <c r="W249" s="219"/>
      <c r="X249" s="219"/>
      <c r="Y249" s="219"/>
      <c r="Z249" s="219"/>
      <c r="AA249" s="219"/>
      <c r="AB249" s="219"/>
      <c r="AC249" s="219"/>
      <c r="AD249" s="219"/>
      <c r="AE249" s="219"/>
      <c r="AF249" s="219"/>
      <c r="AG249" s="219"/>
      <c r="AH249" s="219"/>
      <c r="AI249" s="219"/>
      <c r="AJ249" s="219"/>
      <c r="AK249" s="219"/>
      <c r="AL249" s="219"/>
      <c r="AM249" s="219"/>
    </row>
    <row r="250" spans="1:39" ht="6.6" customHeight="1" x14ac:dyDescent="0.2">
      <c r="A250" s="219"/>
      <c r="B250" s="219"/>
      <c r="C250" s="219"/>
      <c r="D250" s="219"/>
      <c r="E250" s="219"/>
      <c r="F250" s="219"/>
      <c r="G250" s="219"/>
      <c r="H250" s="219"/>
      <c r="I250" s="219"/>
      <c r="J250" s="219"/>
      <c r="K250" s="219"/>
      <c r="L250" s="219"/>
      <c r="M250" s="219"/>
      <c r="N250" s="219"/>
      <c r="O250" s="219"/>
      <c r="P250" s="219"/>
      <c r="Q250" s="219"/>
      <c r="R250" s="219"/>
      <c r="S250" s="219"/>
      <c r="T250" s="219"/>
      <c r="U250" s="219"/>
      <c r="V250" s="219"/>
      <c r="W250" s="219"/>
      <c r="X250" s="219"/>
      <c r="Y250" s="219"/>
      <c r="Z250" s="219"/>
      <c r="AA250" s="219"/>
      <c r="AB250" s="219"/>
      <c r="AC250" s="219"/>
      <c r="AD250" s="219"/>
      <c r="AE250" s="219"/>
      <c r="AF250" s="219"/>
      <c r="AG250" s="219"/>
      <c r="AH250" s="219"/>
      <c r="AI250" s="219"/>
      <c r="AJ250" s="219"/>
      <c r="AK250" s="219"/>
      <c r="AL250" s="219"/>
      <c r="AM250" s="219"/>
    </row>
    <row r="251" spans="1:39" ht="6.6" customHeight="1" x14ac:dyDescent="0.2">
      <c r="A251" s="219"/>
      <c r="B251" s="219"/>
      <c r="C251" s="219"/>
      <c r="D251" s="219"/>
      <c r="E251" s="219"/>
      <c r="F251" s="219"/>
      <c r="G251" s="219"/>
      <c r="H251" s="219"/>
      <c r="I251" s="219"/>
      <c r="J251" s="219"/>
      <c r="K251" s="219"/>
      <c r="L251" s="219"/>
      <c r="M251" s="219"/>
      <c r="N251" s="219"/>
      <c r="O251" s="219"/>
      <c r="P251" s="219"/>
      <c r="Q251" s="219"/>
      <c r="R251" s="219"/>
      <c r="S251" s="219"/>
      <c r="T251" s="219"/>
      <c r="U251" s="219"/>
      <c r="V251" s="219"/>
      <c r="W251" s="219"/>
      <c r="X251" s="219"/>
      <c r="Y251" s="219"/>
      <c r="Z251" s="219"/>
      <c r="AA251" s="219"/>
      <c r="AB251" s="219"/>
      <c r="AC251" s="219"/>
      <c r="AD251" s="219"/>
      <c r="AE251" s="219"/>
      <c r="AF251" s="219"/>
      <c r="AG251" s="219"/>
      <c r="AH251" s="219"/>
      <c r="AI251" s="219"/>
      <c r="AJ251" s="219"/>
      <c r="AK251" s="219"/>
      <c r="AL251" s="219"/>
      <c r="AM251" s="219"/>
    </row>
    <row r="252" spans="1:39" ht="6.6" customHeight="1" x14ac:dyDescent="0.2">
      <c r="A252" s="219"/>
      <c r="B252" s="219"/>
      <c r="C252" s="219"/>
      <c r="D252" s="219"/>
      <c r="E252" s="219"/>
      <c r="F252" s="219"/>
      <c r="G252" s="219"/>
      <c r="H252" s="219"/>
      <c r="I252" s="219"/>
      <c r="J252" s="219"/>
      <c r="K252" s="219"/>
      <c r="L252" s="219"/>
      <c r="M252" s="219"/>
      <c r="N252" s="219"/>
      <c r="O252" s="219"/>
      <c r="P252" s="219"/>
      <c r="Q252" s="219"/>
      <c r="R252" s="219"/>
      <c r="S252" s="219"/>
      <c r="T252" s="219"/>
      <c r="U252" s="219"/>
      <c r="V252" s="219"/>
      <c r="W252" s="219"/>
      <c r="X252" s="219"/>
      <c r="Y252" s="219"/>
      <c r="Z252" s="219"/>
      <c r="AA252" s="219"/>
      <c r="AB252" s="219"/>
      <c r="AC252" s="219"/>
      <c r="AD252" s="219"/>
      <c r="AE252" s="219"/>
      <c r="AF252" s="219"/>
      <c r="AG252" s="219"/>
      <c r="AH252" s="219"/>
      <c r="AI252" s="219"/>
      <c r="AJ252" s="219"/>
      <c r="AK252" s="219"/>
      <c r="AL252" s="219"/>
      <c r="AM252" s="219"/>
    </row>
    <row r="253" spans="1:39" ht="6.6" customHeight="1" x14ac:dyDescent="0.2">
      <c r="A253" s="219"/>
      <c r="B253" s="219"/>
      <c r="C253" s="219"/>
      <c r="D253" s="219"/>
      <c r="E253" s="219"/>
      <c r="F253" s="219"/>
      <c r="G253" s="219"/>
      <c r="H253" s="219"/>
      <c r="I253" s="219"/>
      <c r="J253" s="219"/>
      <c r="K253" s="219"/>
      <c r="L253" s="219"/>
      <c r="M253" s="219"/>
      <c r="N253" s="219"/>
      <c r="O253" s="219"/>
      <c r="P253" s="219"/>
      <c r="Q253" s="219"/>
      <c r="R253" s="219"/>
      <c r="S253" s="219"/>
      <c r="T253" s="219"/>
      <c r="U253" s="219"/>
      <c r="V253" s="219"/>
      <c r="W253" s="219"/>
      <c r="X253" s="219"/>
      <c r="Y253" s="219"/>
      <c r="Z253" s="219"/>
      <c r="AA253" s="219"/>
      <c r="AB253" s="219"/>
      <c r="AC253" s="219"/>
      <c r="AD253" s="219"/>
      <c r="AE253" s="219"/>
      <c r="AF253" s="219"/>
      <c r="AG253" s="219"/>
      <c r="AH253" s="219"/>
      <c r="AI253" s="219"/>
      <c r="AJ253" s="219"/>
      <c r="AK253" s="219"/>
      <c r="AL253" s="219"/>
      <c r="AM253" s="219"/>
    </row>
    <row r="254" spans="1:39" ht="6.6" customHeight="1" x14ac:dyDescent="0.2">
      <c r="A254" s="219"/>
      <c r="B254" s="219"/>
      <c r="C254" s="219"/>
      <c r="D254" s="219"/>
      <c r="E254" s="219"/>
      <c r="F254" s="219"/>
      <c r="G254" s="219"/>
      <c r="H254" s="219"/>
      <c r="I254" s="219"/>
      <c r="J254" s="219"/>
      <c r="K254" s="219"/>
      <c r="L254" s="219"/>
      <c r="M254" s="219"/>
      <c r="N254" s="219"/>
      <c r="O254" s="219"/>
      <c r="P254" s="219"/>
      <c r="Q254" s="219"/>
      <c r="R254" s="219"/>
      <c r="S254" s="219"/>
      <c r="T254" s="219"/>
      <c r="U254" s="219"/>
      <c r="V254" s="219"/>
      <c r="W254" s="219"/>
      <c r="X254" s="219"/>
      <c r="Y254" s="219"/>
      <c r="Z254" s="219"/>
      <c r="AA254" s="219"/>
      <c r="AB254" s="219"/>
      <c r="AC254" s="219"/>
      <c r="AD254" s="219"/>
      <c r="AE254" s="219"/>
      <c r="AF254" s="219"/>
      <c r="AG254" s="219"/>
      <c r="AH254" s="219"/>
      <c r="AI254" s="219"/>
      <c r="AJ254" s="219"/>
      <c r="AK254" s="219"/>
      <c r="AL254" s="219"/>
      <c r="AM254" s="219"/>
    </row>
    <row r="255" spans="1:39" ht="6.6" customHeight="1" x14ac:dyDescent="0.2">
      <c r="A255" s="219"/>
      <c r="B255" s="219"/>
      <c r="C255" s="219"/>
      <c r="D255" s="219"/>
      <c r="E255" s="219"/>
      <c r="F255" s="219"/>
      <c r="G255" s="219"/>
      <c r="H255" s="219"/>
      <c r="I255" s="219"/>
      <c r="J255" s="219"/>
      <c r="K255" s="219"/>
      <c r="L255" s="219"/>
      <c r="M255" s="219"/>
      <c r="N255" s="219"/>
      <c r="O255" s="219"/>
      <c r="P255" s="219"/>
      <c r="Q255" s="219"/>
      <c r="R255" s="219"/>
      <c r="S255" s="219"/>
      <c r="T255" s="219"/>
      <c r="U255" s="219"/>
      <c r="V255" s="219"/>
      <c r="W255" s="219"/>
      <c r="X255" s="219"/>
      <c r="Y255" s="219"/>
      <c r="Z255" s="219"/>
      <c r="AA255" s="219"/>
      <c r="AB255" s="219"/>
      <c r="AC255" s="219"/>
      <c r="AD255" s="219"/>
      <c r="AE255" s="219"/>
      <c r="AF255" s="219"/>
      <c r="AG255" s="219"/>
      <c r="AH255" s="219"/>
      <c r="AI255" s="219"/>
      <c r="AJ255" s="219"/>
      <c r="AK255" s="219"/>
      <c r="AL255" s="219"/>
      <c r="AM255" s="219"/>
    </row>
    <row r="256" spans="1:39" ht="6.6" customHeight="1" x14ac:dyDescent="0.2">
      <c r="A256" s="219"/>
      <c r="B256" s="219"/>
      <c r="C256" s="219"/>
      <c r="D256" s="219"/>
      <c r="E256" s="219"/>
      <c r="F256" s="219"/>
      <c r="G256" s="219"/>
      <c r="H256" s="219"/>
      <c r="I256" s="219"/>
      <c r="J256" s="219"/>
      <c r="K256" s="219"/>
      <c r="L256" s="219"/>
      <c r="M256" s="219"/>
      <c r="N256" s="219"/>
      <c r="O256" s="219"/>
      <c r="P256" s="219"/>
      <c r="Q256" s="219"/>
      <c r="R256" s="219"/>
      <c r="S256" s="219"/>
      <c r="T256" s="219"/>
      <c r="U256" s="219"/>
      <c r="V256" s="219"/>
      <c r="W256" s="219"/>
      <c r="X256" s="219"/>
      <c r="Y256" s="219"/>
      <c r="Z256" s="219"/>
      <c r="AA256" s="219"/>
      <c r="AB256" s="219"/>
      <c r="AC256" s="219"/>
      <c r="AD256" s="219"/>
      <c r="AE256" s="219"/>
      <c r="AF256" s="219"/>
      <c r="AG256" s="219"/>
      <c r="AH256" s="219"/>
      <c r="AI256" s="219"/>
      <c r="AJ256" s="219"/>
      <c r="AK256" s="219"/>
      <c r="AL256" s="219"/>
      <c r="AM256" s="219"/>
    </row>
    <row r="257" spans="1:39" ht="6.6" customHeight="1" x14ac:dyDescent="0.2">
      <c r="A257" s="219"/>
      <c r="B257" s="219"/>
      <c r="C257" s="219"/>
      <c r="D257" s="219"/>
      <c r="E257" s="219"/>
      <c r="F257" s="219"/>
      <c r="G257" s="219"/>
      <c r="H257" s="219"/>
      <c r="I257" s="219"/>
      <c r="J257" s="219"/>
      <c r="K257" s="219"/>
      <c r="L257" s="219"/>
      <c r="M257" s="219"/>
      <c r="N257" s="219"/>
      <c r="O257" s="219"/>
      <c r="P257" s="219"/>
      <c r="Q257" s="219"/>
      <c r="R257" s="219"/>
      <c r="S257" s="219"/>
      <c r="T257" s="219"/>
      <c r="U257" s="219"/>
      <c r="V257" s="219"/>
      <c r="W257" s="219"/>
      <c r="X257" s="219"/>
      <c r="Y257" s="219"/>
      <c r="Z257" s="219"/>
      <c r="AA257" s="219"/>
      <c r="AB257" s="219"/>
      <c r="AC257" s="219"/>
      <c r="AD257" s="219"/>
      <c r="AE257" s="219"/>
      <c r="AF257" s="219"/>
      <c r="AG257" s="219"/>
      <c r="AH257" s="219"/>
      <c r="AI257" s="219"/>
      <c r="AJ257" s="219"/>
      <c r="AK257" s="219"/>
      <c r="AL257" s="219"/>
      <c r="AM257" s="219"/>
    </row>
    <row r="258" spans="1:39" ht="6.6" customHeight="1" x14ac:dyDescent="0.2">
      <c r="A258" s="219"/>
      <c r="B258" s="219"/>
      <c r="C258" s="219"/>
      <c r="D258" s="219"/>
      <c r="E258" s="219"/>
      <c r="F258" s="219"/>
      <c r="G258" s="219"/>
      <c r="H258" s="219"/>
      <c r="I258" s="219"/>
      <c r="J258" s="219"/>
      <c r="K258" s="219"/>
      <c r="L258" s="219"/>
      <c r="M258" s="219"/>
      <c r="N258" s="219"/>
      <c r="O258" s="219"/>
      <c r="P258" s="219"/>
      <c r="Q258" s="219"/>
      <c r="R258" s="219"/>
      <c r="S258" s="219"/>
      <c r="T258" s="219"/>
      <c r="U258" s="219"/>
      <c r="V258" s="219"/>
      <c r="W258" s="219"/>
      <c r="X258" s="219"/>
      <c r="Y258" s="219"/>
      <c r="Z258" s="219"/>
      <c r="AA258" s="219"/>
      <c r="AB258" s="219"/>
      <c r="AC258" s="219"/>
      <c r="AD258" s="219"/>
      <c r="AE258" s="219"/>
      <c r="AF258" s="219"/>
      <c r="AG258" s="219"/>
      <c r="AH258" s="219"/>
      <c r="AI258" s="219"/>
      <c r="AJ258" s="219"/>
      <c r="AK258" s="219"/>
      <c r="AL258" s="219"/>
      <c r="AM258" s="219"/>
    </row>
    <row r="259" spans="1:39" ht="6.6" customHeight="1" x14ac:dyDescent="0.2">
      <c r="A259" s="219"/>
      <c r="B259" s="219"/>
      <c r="C259" s="219"/>
      <c r="D259" s="219"/>
      <c r="E259" s="219"/>
      <c r="F259" s="219"/>
      <c r="G259" s="219"/>
      <c r="H259" s="219"/>
      <c r="I259" s="219"/>
      <c r="J259" s="219"/>
      <c r="K259" s="219"/>
      <c r="L259" s="219"/>
      <c r="M259" s="219"/>
      <c r="N259" s="219"/>
      <c r="O259" s="219"/>
      <c r="P259" s="219"/>
      <c r="Q259" s="219"/>
      <c r="R259" s="219"/>
      <c r="S259" s="219"/>
      <c r="T259" s="219"/>
      <c r="U259" s="219"/>
      <c r="V259" s="219"/>
      <c r="W259" s="219"/>
      <c r="X259" s="219"/>
      <c r="Y259" s="219"/>
      <c r="Z259" s="219"/>
      <c r="AA259" s="219"/>
      <c r="AB259" s="219"/>
      <c r="AC259" s="219"/>
      <c r="AD259" s="219"/>
      <c r="AE259" s="219"/>
      <c r="AF259" s="219"/>
      <c r="AG259" s="219"/>
      <c r="AH259" s="219"/>
      <c r="AI259" s="219"/>
      <c r="AJ259" s="219"/>
      <c r="AK259" s="219"/>
      <c r="AL259" s="219"/>
      <c r="AM259" s="219"/>
    </row>
    <row r="260" spans="1:39" ht="6.6" customHeight="1" x14ac:dyDescent="0.2">
      <c r="A260" s="219"/>
      <c r="B260" s="219"/>
      <c r="C260" s="219"/>
      <c r="D260" s="219"/>
      <c r="E260" s="219"/>
      <c r="F260" s="219"/>
      <c r="G260" s="219"/>
      <c r="H260" s="219"/>
      <c r="I260" s="219"/>
      <c r="J260" s="219"/>
      <c r="K260" s="219"/>
      <c r="L260" s="219"/>
      <c r="M260" s="219"/>
      <c r="N260" s="219"/>
      <c r="O260" s="219"/>
      <c r="P260" s="219"/>
      <c r="Q260" s="219"/>
      <c r="R260" s="219"/>
      <c r="S260" s="219"/>
      <c r="T260" s="219"/>
      <c r="U260" s="219"/>
      <c r="V260" s="219"/>
      <c r="W260" s="219"/>
      <c r="X260" s="219"/>
      <c r="Y260" s="219"/>
      <c r="Z260" s="219"/>
      <c r="AA260" s="219"/>
      <c r="AB260" s="219"/>
      <c r="AC260" s="219"/>
      <c r="AD260" s="219"/>
      <c r="AE260" s="219"/>
      <c r="AF260" s="219"/>
      <c r="AG260" s="219"/>
      <c r="AH260" s="219"/>
      <c r="AI260" s="219"/>
      <c r="AJ260" s="219"/>
      <c r="AK260" s="219"/>
      <c r="AL260" s="219"/>
      <c r="AM260" s="219"/>
    </row>
    <row r="261" spans="1:39" ht="6.6" customHeight="1" x14ac:dyDescent="0.2">
      <c r="A261" s="219"/>
      <c r="B261" s="219"/>
      <c r="C261" s="219"/>
      <c r="D261" s="219"/>
      <c r="E261" s="219"/>
      <c r="F261" s="219"/>
      <c r="G261" s="219"/>
      <c r="H261" s="219"/>
      <c r="I261" s="219"/>
      <c r="J261" s="219"/>
      <c r="K261" s="219"/>
      <c r="L261" s="219"/>
      <c r="M261" s="219"/>
      <c r="N261" s="219"/>
      <c r="O261" s="219"/>
      <c r="P261" s="219"/>
      <c r="Q261" s="219"/>
      <c r="R261" s="219"/>
      <c r="S261" s="219"/>
      <c r="T261" s="219"/>
      <c r="U261" s="219"/>
      <c r="V261" s="219"/>
      <c r="W261" s="219"/>
      <c r="X261" s="219"/>
      <c r="Y261" s="219"/>
      <c r="Z261" s="219"/>
      <c r="AA261" s="219"/>
      <c r="AB261" s="219"/>
      <c r="AC261" s="219"/>
      <c r="AD261" s="219"/>
      <c r="AE261" s="219"/>
      <c r="AF261" s="219"/>
      <c r="AG261" s="219"/>
      <c r="AH261" s="219"/>
      <c r="AI261" s="219"/>
      <c r="AJ261" s="219"/>
      <c r="AK261" s="219"/>
      <c r="AL261" s="219"/>
      <c r="AM261" s="219"/>
    </row>
    <row r="262" spans="1:39" ht="6.6" customHeight="1" x14ac:dyDescent="0.2">
      <c r="A262" s="219"/>
      <c r="B262" s="219"/>
      <c r="C262" s="219"/>
      <c r="D262" s="219"/>
      <c r="E262" s="219"/>
      <c r="F262" s="219"/>
      <c r="G262" s="219"/>
      <c r="H262" s="219"/>
      <c r="I262" s="219"/>
      <c r="J262" s="219"/>
      <c r="K262" s="219"/>
      <c r="L262" s="219"/>
      <c r="M262" s="219"/>
      <c r="N262" s="219"/>
      <c r="O262" s="219"/>
      <c r="P262" s="219"/>
      <c r="Q262" s="219"/>
      <c r="R262" s="219"/>
      <c r="S262" s="219"/>
      <c r="T262" s="219"/>
      <c r="U262" s="219"/>
      <c r="V262" s="219"/>
      <c r="W262" s="219"/>
      <c r="X262" s="219"/>
      <c r="Y262" s="219"/>
      <c r="Z262" s="219"/>
      <c r="AA262" s="219"/>
      <c r="AB262" s="219"/>
      <c r="AC262" s="219"/>
      <c r="AD262" s="219"/>
      <c r="AE262" s="219"/>
      <c r="AF262" s="219"/>
      <c r="AG262" s="219"/>
      <c r="AH262" s="219"/>
      <c r="AI262" s="219"/>
      <c r="AJ262" s="219"/>
      <c r="AK262" s="219"/>
      <c r="AL262" s="219"/>
      <c r="AM262" s="219"/>
    </row>
    <row r="263" spans="1:39" ht="6.6" customHeight="1" x14ac:dyDescent="0.2">
      <c r="A263" s="219"/>
      <c r="B263" s="219"/>
      <c r="C263" s="219"/>
      <c r="D263" s="219"/>
      <c r="E263" s="219"/>
      <c r="F263" s="219"/>
      <c r="G263" s="219"/>
      <c r="H263" s="219"/>
      <c r="I263" s="219"/>
      <c r="J263" s="219"/>
      <c r="K263" s="219"/>
      <c r="L263" s="219"/>
      <c r="M263" s="219"/>
      <c r="N263" s="219"/>
      <c r="O263" s="219"/>
      <c r="P263" s="219"/>
      <c r="Q263" s="219"/>
      <c r="R263" s="219"/>
      <c r="S263" s="219"/>
      <c r="T263" s="219"/>
      <c r="U263" s="219"/>
      <c r="V263" s="219"/>
      <c r="W263" s="219"/>
      <c r="X263" s="219"/>
      <c r="Y263" s="219"/>
      <c r="Z263" s="219"/>
      <c r="AA263" s="219"/>
      <c r="AB263" s="219"/>
      <c r="AC263" s="219"/>
      <c r="AD263" s="219"/>
      <c r="AE263" s="219"/>
      <c r="AF263" s="219"/>
      <c r="AG263" s="219"/>
      <c r="AH263" s="219"/>
      <c r="AI263" s="219"/>
      <c r="AJ263" s="219"/>
      <c r="AK263" s="219"/>
      <c r="AL263" s="219"/>
      <c r="AM263" s="219"/>
    </row>
    <row r="264" spans="1:39" ht="6.6" customHeight="1" x14ac:dyDescent="0.2"/>
    <row r="265" spans="1:39" ht="6.6" customHeight="1" x14ac:dyDescent="0.2"/>
    <row r="266" spans="1:39" ht="6.6" customHeight="1" x14ac:dyDescent="0.2"/>
    <row r="267" spans="1:39" ht="6.6" customHeight="1" x14ac:dyDescent="0.2"/>
    <row r="268" spans="1:39" ht="6.6" customHeight="1" x14ac:dyDescent="0.2"/>
    <row r="269" spans="1:39" ht="6.6" customHeight="1" x14ac:dyDescent="0.2"/>
    <row r="270" spans="1:39" ht="6.6" customHeight="1" x14ac:dyDescent="0.2"/>
    <row r="271" spans="1:39" ht="6.6" customHeight="1" x14ac:dyDescent="0.2"/>
    <row r="272" spans="1:39" ht="6.6" customHeight="1" x14ac:dyDescent="0.2"/>
    <row r="273" ht="6.6" customHeight="1" x14ac:dyDescent="0.2"/>
    <row r="274" ht="6.6" customHeight="1" x14ac:dyDescent="0.2"/>
    <row r="275" ht="6.6" customHeight="1" x14ac:dyDescent="0.2"/>
    <row r="276" ht="6.6" customHeight="1" x14ac:dyDescent="0.2"/>
    <row r="277" ht="6.6" customHeight="1" x14ac:dyDescent="0.2"/>
    <row r="278" ht="6.6" customHeight="1" x14ac:dyDescent="0.2"/>
    <row r="279" ht="6.6" customHeight="1" x14ac:dyDescent="0.2"/>
    <row r="280" ht="6.6" customHeight="1" x14ac:dyDescent="0.2"/>
    <row r="281" ht="6.6" customHeight="1" x14ac:dyDescent="0.2"/>
    <row r="282" ht="6.6" customHeight="1" x14ac:dyDescent="0.2"/>
    <row r="283" ht="6.6" customHeight="1" x14ac:dyDescent="0.2"/>
    <row r="284" ht="6.6" customHeight="1" x14ac:dyDescent="0.2"/>
    <row r="285" ht="6.6" customHeight="1" x14ac:dyDescent="0.2"/>
    <row r="286" ht="6.6" customHeight="1" x14ac:dyDescent="0.2"/>
    <row r="287" ht="6.6" customHeight="1" x14ac:dyDescent="0.2"/>
    <row r="288" ht="6.6" customHeight="1" x14ac:dyDescent="0.2"/>
    <row r="289" ht="6.6" customHeight="1" x14ac:dyDescent="0.2"/>
    <row r="290" ht="6.6" customHeight="1" x14ac:dyDescent="0.2"/>
    <row r="291" ht="6.6" customHeight="1" x14ac:dyDescent="0.2"/>
    <row r="292" ht="6.6" customHeight="1" x14ac:dyDescent="0.2"/>
    <row r="293" ht="6.6" customHeight="1" x14ac:dyDescent="0.2"/>
    <row r="294" ht="6.6" customHeight="1" x14ac:dyDescent="0.2"/>
    <row r="295" ht="6.6" customHeight="1" x14ac:dyDescent="0.2"/>
    <row r="296" ht="6.6" customHeight="1" x14ac:dyDescent="0.2"/>
    <row r="297" ht="6.6" customHeight="1" x14ac:dyDescent="0.2"/>
    <row r="298" ht="6.6" customHeight="1" x14ac:dyDescent="0.2"/>
    <row r="299" ht="6.6" customHeight="1" x14ac:dyDescent="0.2"/>
    <row r="300" ht="6.6" customHeight="1" x14ac:dyDescent="0.2"/>
    <row r="301" ht="6.6" customHeight="1" x14ac:dyDescent="0.2"/>
    <row r="302" ht="6.6" customHeight="1" x14ac:dyDescent="0.2"/>
    <row r="303" ht="6.6" customHeight="1" x14ac:dyDescent="0.2"/>
    <row r="304" ht="6.6" customHeight="1" x14ac:dyDescent="0.2"/>
    <row r="305" ht="6.6" customHeight="1" x14ac:dyDescent="0.2"/>
    <row r="306" ht="6.6" customHeight="1" x14ac:dyDescent="0.2"/>
    <row r="307" ht="6.6" customHeight="1" x14ac:dyDescent="0.2"/>
    <row r="308" ht="6.6" customHeight="1" x14ac:dyDescent="0.2"/>
    <row r="309" ht="6.6" customHeight="1" x14ac:dyDescent="0.2"/>
    <row r="310" ht="6.6" customHeight="1" x14ac:dyDescent="0.2"/>
    <row r="311" ht="6.6" customHeight="1" x14ac:dyDescent="0.2"/>
    <row r="312" ht="6.6" customHeight="1" x14ac:dyDescent="0.2"/>
    <row r="313" ht="6.6" customHeight="1" x14ac:dyDescent="0.2"/>
    <row r="314" ht="6.6" customHeight="1" x14ac:dyDescent="0.2"/>
    <row r="315" ht="6.6" customHeight="1" x14ac:dyDescent="0.2"/>
    <row r="316" ht="6.6" customHeight="1" x14ac:dyDescent="0.2"/>
    <row r="317" ht="6.6" customHeight="1" x14ac:dyDescent="0.2"/>
    <row r="318" ht="6.6" customHeight="1" x14ac:dyDescent="0.2"/>
    <row r="319" ht="6.6" customHeight="1" x14ac:dyDescent="0.2"/>
    <row r="320" ht="6.6" customHeight="1" x14ac:dyDescent="0.2"/>
    <row r="321" ht="6.6" customHeight="1" x14ac:dyDescent="0.2"/>
    <row r="322" ht="6.6" customHeight="1" x14ac:dyDescent="0.2"/>
    <row r="323" ht="6.6" customHeight="1" x14ac:dyDescent="0.2"/>
    <row r="324" ht="6.6" customHeight="1" x14ac:dyDescent="0.2"/>
    <row r="325" ht="6.6" customHeight="1" x14ac:dyDescent="0.2"/>
    <row r="326" ht="6.6" customHeight="1" x14ac:dyDescent="0.2"/>
    <row r="327" ht="6.6" customHeight="1" x14ac:dyDescent="0.2"/>
    <row r="328" ht="6.6" customHeight="1" x14ac:dyDescent="0.2"/>
    <row r="329" ht="6.6" customHeight="1" x14ac:dyDescent="0.2"/>
    <row r="330" ht="6.6" customHeight="1" x14ac:dyDescent="0.2"/>
    <row r="331" ht="6.6" customHeight="1" x14ac:dyDescent="0.2"/>
    <row r="332" ht="6.6" customHeight="1" x14ac:dyDescent="0.2"/>
    <row r="333" ht="6.6" customHeight="1" x14ac:dyDescent="0.2"/>
    <row r="334" ht="6.6" customHeight="1" x14ac:dyDescent="0.2"/>
    <row r="335" ht="6.6" customHeight="1" x14ac:dyDescent="0.2"/>
    <row r="336" ht="6.6" customHeight="1" x14ac:dyDescent="0.2"/>
    <row r="337" ht="6.6" customHeight="1" x14ac:dyDescent="0.2"/>
    <row r="338" ht="6.6" customHeight="1" x14ac:dyDescent="0.2"/>
    <row r="339" ht="6.6" customHeight="1" x14ac:dyDescent="0.2"/>
    <row r="340" ht="6.6" customHeight="1" x14ac:dyDescent="0.2"/>
    <row r="341" ht="6.6" customHeight="1" x14ac:dyDescent="0.2"/>
    <row r="342" ht="6.6" customHeight="1" x14ac:dyDescent="0.2"/>
    <row r="343" ht="6.6" customHeight="1" x14ac:dyDescent="0.2"/>
    <row r="344" ht="6.6" customHeight="1" x14ac:dyDescent="0.2"/>
    <row r="345" ht="6.6" customHeight="1" x14ac:dyDescent="0.2"/>
    <row r="346" ht="6.6" customHeight="1" x14ac:dyDescent="0.2"/>
    <row r="347" ht="6.6" customHeight="1" x14ac:dyDescent="0.2"/>
    <row r="348" ht="6.6" customHeight="1" x14ac:dyDescent="0.2"/>
    <row r="349" ht="6.6" customHeight="1" x14ac:dyDescent="0.2"/>
    <row r="350" ht="6.6" customHeight="1" x14ac:dyDescent="0.2"/>
    <row r="351" ht="6.6" customHeight="1" x14ac:dyDescent="0.2"/>
  </sheetData>
  <sheetProtection sheet="1" selectLockedCells="1"/>
  <mergeCells count="344">
    <mergeCell ref="A1:J1"/>
    <mergeCell ref="P1:AG1"/>
    <mergeCell ref="AO1:AT5"/>
    <mergeCell ref="A3:F5"/>
    <mergeCell ref="J4:T5"/>
    <mergeCell ref="L2:AK2"/>
    <mergeCell ref="H3:H4"/>
    <mergeCell ref="A13:E14"/>
    <mergeCell ref="Y9:Y10"/>
    <mergeCell ref="AS15:AS16"/>
    <mergeCell ref="S10:X11"/>
    <mergeCell ref="AM16:AP17"/>
    <mergeCell ref="Y6:AF7"/>
    <mergeCell ref="G9:J10"/>
    <mergeCell ref="S7:X8"/>
    <mergeCell ref="A10:F11"/>
    <mergeCell ref="G6:Q7"/>
    <mergeCell ref="Z15:AK16"/>
    <mergeCell ref="I13:Q14"/>
    <mergeCell ref="S16:X17"/>
    <mergeCell ref="AH10:AJ11"/>
    <mergeCell ref="AK9:AT10"/>
    <mergeCell ref="AH7:AJ8"/>
    <mergeCell ref="AK6:AT7"/>
    <mergeCell ref="A7:F8"/>
    <mergeCell ref="A21:C22"/>
    <mergeCell ref="G15:J16"/>
    <mergeCell ref="K15:K16"/>
    <mergeCell ref="L15:N16"/>
    <mergeCell ref="AF21:AJ22"/>
    <mergeCell ref="AP211:AT218"/>
    <mergeCell ref="N211:Z218"/>
    <mergeCell ref="A197:M202"/>
    <mergeCell ref="N197:Z202"/>
    <mergeCell ref="N193:Z196"/>
    <mergeCell ref="A193:M196"/>
    <mergeCell ref="AA203:AE210"/>
    <mergeCell ref="AF203:AJ210"/>
    <mergeCell ref="AK203:AO210"/>
    <mergeCell ref="AP203:AT210"/>
    <mergeCell ref="A203:M210"/>
    <mergeCell ref="A211:M218"/>
    <mergeCell ref="N203:Z210"/>
    <mergeCell ref="AA211:AE218"/>
    <mergeCell ref="AF211:AJ218"/>
    <mergeCell ref="AK211:AO218"/>
    <mergeCell ref="A185:AT192"/>
    <mergeCell ref="AA193:AE196"/>
    <mergeCell ref="AF193:AJ196"/>
    <mergeCell ref="AK193:AO196"/>
    <mergeCell ref="AP193:AT196"/>
    <mergeCell ref="AA197:AE202"/>
    <mergeCell ref="AF197:AJ202"/>
    <mergeCell ref="AK197:AO202"/>
    <mergeCell ref="AP197:AT202"/>
    <mergeCell ref="A175:R178"/>
    <mergeCell ref="S175:Z178"/>
    <mergeCell ref="AA175:AE178"/>
    <mergeCell ref="AF175:AJ178"/>
    <mergeCell ref="AK175:AO178"/>
    <mergeCell ref="AP175:AT178"/>
    <mergeCell ref="A171:R174"/>
    <mergeCell ref="S171:Z174"/>
    <mergeCell ref="AA171:AE174"/>
    <mergeCell ref="AF171:AJ174"/>
    <mergeCell ref="AK171:AO174"/>
    <mergeCell ref="AP171:AT174"/>
    <mergeCell ref="A167:R170"/>
    <mergeCell ref="S167:Z170"/>
    <mergeCell ref="AA167:AE170"/>
    <mergeCell ref="AF167:AJ170"/>
    <mergeCell ref="AK167:AO170"/>
    <mergeCell ref="AP167:AT170"/>
    <mergeCell ref="A163:R166"/>
    <mergeCell ref="S163:Z166"/>
    <mergeCell ref="AA163:AE166"/>
    <mergeCell ref="AF163:AJ166"/>
    <mergeCell ref="AK163:AO166"/>
    <mergeCell ref="AP163:AT166"/>
    <mergeCell ref="A154:AT158"/>
    <mergeCell ref="A159:C160"/>
    <mergeCell ref="F159:R162"/>
    <mergeCell ref="S159:Z162"/>
    <mergeCell ref="AA159:AE162"/>
    <mergeCell ref="AF159:AJ162"/>
    <mergeCell ref="AK159:AO162"/>
    <mergeCell ref="AP159:AT162"/>
    <mergeCell ref="A161:E162"/>
    <mergeCell ref="A144:R147"/>
    <mergeCell ref="S144:Z147"/>
    <mergeCell ref="AA144:AE147"/>
    <mergeCell ref="AF144:AJ147"/>
    <mergeCell ref="AK144:AO147"/>
    <mergeCell ref="AP144:AT147"/>
    <mergeCell ref="A140:R143"/>
    <mergeCell ref="S140:Z143"/>
    <mergeCell ref="AA140:AE143"/>
    <mergeCell ref="AF140:AJ143"/>
    <mergeCell ref="AK140:AO143"/>
    <mergeCell ref="AP140:AT143"/>
    <mergeCell ref="A136:R139"/>
    <mergeCell ref="S136:Z139"/>
    <mergeCell ref="AA136:AE139"/>
    <mergeCell ref="AF136:AJ139"/>
    <mergeCell ref="AK136:AO139"/>
    <mergeCell ref="AP136:AT139"/>
    <mergeCell ref="A132:R135"/>
    <mergeCell ref="S132:Z135"/>
    <mergeCell ref="AA132:AE135"/>
    <mergeCell ref="AF132:AJ135"/>
    <mergeCell ref="AK132:AO135"/>
    <mergeCell ref="AP132:AT135"/>
    <mergeCell ref="S128:Z131"/>
    <mergeCell ref="AA128:AE131"/>
    <mergeCell ref="AF128:AJ131"/>
    <mergeCell ref="AK128:AO131"/>
    <mergeCell ref="AP128:AT131"/>
    <mergeCell ref="A113:C114"/>
    <mergeCell ref="D112:AT113"/>
    <mergeCell ref="X116:AL117"/>
    <mergeCell ref="AM116:AP117"/>
    <mergeCell ref="A128:R131"/>
    <mergeCell ref="W105:X107"/>
    <mergeCell ref="Y102:AK104"/>
    <mergeCell ref="Y105:AK107"/>
    <mergeCell ref="AN105:AR106"/>
    <mergeCell ref="AN102:AR103"/>
    <mergeCell ref="W108:X111"/>
    <mergeCell ref="Y108:AK111"/>
    <mergeCell ref="AN108:AR109"/>
    <mergeCell ref="W100:X101"/>
    <mergeCell ref="Y100:AK101"/>
    <mergeCell ref="AL100:AN101"/>
    <mergeCell ref="AO100:AQ101"/>
    <mergeCell ref="AR100:AT101"/>
    <mergeCell ref="W102:X104"/>
    <mergeCell ref="W96:X97"/>
    <mergeCell ref="Y96:AK97"/>
    <mergeCell ref="AL96:AN97"/>
    <mergeCell ref="AO96:AQ97"/>
    <mergeCell ref="AR96:AT97"/>
    <mergeCell ref="W98:X99"/>
    <mergeCell ref="Y98:AK99"/>
    <mergeCell ref="AL98:AN99"/>
    <mergeCell ref="AO98:AQ99"/>
    <mergeCell ref="AR98:AT99"/>
    <mergeCell ref="W92:X93"/>
    <mergeCell ref="Y92:AK93"/>
    <mergeCell ref="AL92:AN93"/>
    <mergeCell ref="AO92:AQ93"/>
    <mergeCell ref="AR92:AT93"/>
    <mergeCell ref="W94:X95"/>
    <mergeCell ref="Y94:AK95"/>
    <mergeCell ref="AL94:AN95"/>
    <mergeCell ref="AO94:AQ95"/>
    <mergeCell ref="AR94:AT95"/>
    <mergeCell ref="AO82:AQ83"/>
    <mergeCell ref="AR82:AT83"/>
    <mergeCell ref="W88:X89"/>
    <mergeCell ref="Y88:AK89"/>
    <mergeCell ref="AL88:AN89"/>
    <mergeCell ref="AO88:AQ89"/>
    <mergeCell ref="AR88:AT89"/>
    <mergeCell ref="W90:X91"/>
    <mergeCell ref="Y90:AK91"/>
    <mergeCell ref="AL90:AN91"/>
    <mergeCell ref="AO90:AQ91"/>
    <mergeCell ref="AR90:AT91"/>
    <mergeCell ref="A108:B111"/>
    <mergeCell ref="C108:P111"/>
    <mergeCell ref="R108:U109"/>
    <mergeCell ref="X77:AF78"/>
    <mergeCell ref="AG75:AI75"/>
    <mergeCell ref="AG77:AJ77"/>
    <mergeCell ref="W80:X81"/>
    <mergeCell ref="Y80:AK81"/>
    <mergeCell ref="W84:X85"/>
    <mergeCell ref="Y84:AK85"/>
    <mergeCell ref="A100:B101"/>
    <mergeCell ref="C100:P101"/>
    <mergeCell ref="Q100:V101"/>
    <mergeCell ref="A102:B104"/>
    <mergeCell ref="C102:P104"/>
    <mergeCell ref="A105:B107"/>
    <mergeCell ref="C105:P107"/>
    <mergeCell ref="R102:U103"/>
    <mergeCell ref="R105:U106"/>
    <mergeCell ref="A96:B97"/>
    <mergeCell ref="C96:P97"/>
    <mergeCell ref="Q96:V97"/>
    <mergeCell ref="A98:B99"/>
    <mergeCell ref="C98:P99"/>
    <mergeCell ref="Q98:V99"/>
    <mergeCell ref="A92:B93"/>
    <mergeCell ref="C92:P93"/>
    <mergeCell ref="Q92:V93"/>
    <mergeCell ref="A94:B95"/>
    <mergeCell ref="C94:P95"/>
    <mergeCell ref="Q94:V95"/>
    <mergeCell ref="A88:B89"/>
    <mergeCell ref="C88:P89"/>
    <mergeCell ref="Q88:V89"/>
    <mergeCell ref="A90:B91"/>
    <mergeCell ref="C90:P91"/>
    <mergeCell ref="Q90:V91"/>
    <mergeCell ref="C67:S68"/>
    <mergeCell ref="T67:AB68"/>
    <mergeCell ref="AC67:AK68"/>
    <mergeCell ref="AL67:AT68"/>
    <mergeCell ref="A86:B87"/>
    <mergeCell ref="C86:P87"/>
    <mergeCell ref="Q86:V87"/>
    <mergeCell ref="AR75:AT79"/>
    <mergeCell ref="AO75:AQ79"/>
    <mergeCell ref="AL75:AN79"/>
    <mergeCell ref="AL84:AN85"/>
    <mergeCell ref="AO84:AQ85"/>
    <mergeCell ref="AR84:AT85"/>
    <mergeCell ref="W86:X87"/>
    <mergeCell ref="Y86:AK87"/>
    <mergeCell ref="AL86:AN87"/>
    <mergeCell ref="AO86:AQ87"/>
    <mergeCell ref="AR86:AT87"/>
    <mergeCell ref="AL80:AN81"/>
    <mergeCell ref="AO80:AQ81"/>
    <mergeCell ref="AR80:AT81"/>
    <mergeCell ref="W82:X83"/>
    <mergeCell ref="Y82:AK83"/>
    <mergeCell ref="AL82:AN83"/>
    <mergeCell ref="C63:S64"/>
    <mergeCell ref="T63:AB64"/>
    <mergeCell ref="AC63:AK64"/>
    <mergeCell ref="AL63:AT64"/>
    <mergeCell ref="C65:S66"/>
    <mergeCell ref="T65:AB66"/>
    <mergeCell ref="AC65:AK66"/>
    <mergeCell ref="AL65:AT66"/>
    <mergeCell ref="T59:AB60"/>
    <mergeCell ref="AC59:AK60"/>
    <mergeCell ref="AL59:AT60"/>
    <mergeCell ref="C57:I58"/>
    <mergeCell ref="J57:N58"/>
    <mergeCell ref="C61:S62"/>
    <mergeCell ref="T61:AB62"/>
    <mergeCell ref="AC61:AK62"/>
    <mergeCell ref="AL61:AT62"/>
    <mergeCell ref="C55:S56"/>
    <mergeCell ref="T55:AB56"/>
    <mergeCell ref="AC55:AK56"/>
    <mergeCell ref="AL55:AT56"/>
    <mergeCell ref="T57:AB58"/>
    <mergeCell ref="AC57:AK58"/>
    <mergeCell ref="AL57:AT58"/>
    <mergeCell ref="AL51:AT52"/>
    <mergeCell ref="C53:S54"/>
    <mergeCell ref="T53:AB54"/>
    <mergeCell ref="AC53:AK54"/>
    <mergeCell ref="AL53:AT54"/>
    <mergeCell ref="C49:S50"/>
    <mergeCell ref="T49:AB50"/>
    <mergeCell ref="AC49:AK50"/>
    <mergeCell ref="AL49:AT50"/>
    <mergeCell ref="C51:S52"/>
    <mergeCell ref="AC47:AK48"/>
    <mergeCell ref="AL47:AT48"/>
    <mergeCell ref="C47:S48"/>
    <mergeCell ref="T51:AB52"/>
    <mergeCell ref="A82:B83"/>
    <mergeCell ref="C82:P83"/>
    <mergeCell ref="Q82:V83"/>
    <mergeCell ref="A84:B85"/>
    <mergeCell ref="C84:P85"/>
    <mergeCell ref="Q84:V85"/>
    <mergeCell ref="A78:B79"/>
    <mergeCell ref="C78:P79"/>
    <mergeCell ref="Q78:V79"/>
    <mergeCell ref="A80:B81"/>
    <mergeCell ref="C80:P81"/>
    <mergeCell ref="Q80:V81"/>
    <mergeCell ref="AR69:AS70"/>
    <mergeCell ref="A73:V77"/>
    <mergeCell ref="W73:AT74"/>
    <mergeCell ref="X75:AF76"/>
    <mergeCell ref="A59:A60"/>
    <mergeCell ref="A61:A62"/>
    <mergeCell ref="A63:A64"/>
    <mergeCell ref="AC51:AK52"/>
    <mergeCell ref="A47:A48"/>
    <mergeCell ref="A49:A50"/>
    <mergeCell ref="A70:I71"/>
    <mergeCell ref="J70:N71"/>
    <mergeCell ref="A119:AT123"/>
    <mergeCell ref="A124:C125"/>
    <mergeCell ref="S124:Z127"/>
    <mergeCell ref="AA124:AE127"/>
    <mergeCell ref="AF124:AJ127"/>
    <mergeCell ref="A51:A52"/>
    <mergeCell ref="A65:A66"/>
    <mergeCell ref="A67:A68"/>
    <mergeCell ref="C59:S60"/>
    <mergeCell ref="A53:A54"/>
    <mergeCell ref="P70:X71"/>
    <mergeCell ref="Y70:AC71"/>
    <mergeCell ref="AF70:AQ71"/>
    <mergeCell ref="AK124:AO127"/>
    <mergeCell ref="AP124:AT127"/>
    <mergeCell ref="F124:R127"/>
    <mergeCell ref="A126:E127"/>
    <mergeCell ref="A55:A56"/>
    <mergeCell ref="A57:A58"/>
    <mergeCell ref="T47:AB48"/>
    <mergeCell ref="A41:K42"/>
    <mergeCell ref="A45:A46"/>
    <mergeCell ref="T45:AB46"/>
    <mergeCell ref="AC45:AK46"/>
    <mergeCell ref="AL45:AT46"/>
    <mergeCell ref="AC40:AL42"/>
    <mergeCell ref="AN40:AN41"/>
    <mergeCell ref="AC43:AO44"/>
    <mergeCell ref="C45:S46"/>
    <mergeCell ref="AN36:AP37"/>
    <mergeCell ref="X12:AI13"/>
    <mergeCell ref="S13:V14"/>
    <mergeCell ref="D21:K22"/>
    <mergeCell ref="Q21:S22"/>
    <mergeCell ref="T21:AA22"/>
    <mergeCell ref="AK21:AR22"/>
    <mergeCell ref="A16:F17"/>
    <mergeCell ref="B37:C38"/>
    <mergeCell ref="E37:AB38"/>
    <mergeCell ref="AF37:AG38"/>
    <mergeCell ref="AN32:AP33"/>
    <mergeCell ref="B33:C34"/>
    <mergeCell ref="B25:C26"/>
    <mergeCell ref="E25:AB26"/>
    <mergeCell ref="AF25:AG26"/>
    <mergeCell ref="AM24:AP25"/>
    <mergeCell ref="B29:C30"/>
    <mergeCell ref="E33:AB34"/>
    <mergeCell ref="AF33:AG34"/>
    <mergeCell ref="E29:AB30"/>
    <mergeCell ref="AF29:AG30"/>
    <mergeCell ref="AM28:AP29"/>
    <mergeCell ref="G12:G13"/>
  </mergeCells>
  <conditionalFormatting sqref="AN102:AR103 AL98:AT99">
    <cfRule type="cellIs" dxfId="5" priority="1" operator="equal">
      <formula>0</formula>
    </cfRule>
  </conditionalFormatting>
  <dataValidations count="4">
    <dataValidation type="list" allowBlank="1" showInputMessage="1" showErrorMessage="1" sqref="H3">
      <formula1>"M,E"</formula1>
    </dataValidation>
    <dataValidation type="list" allowBlank="1" showInputMessage="1" showErrorMessage="1" sqref="G12:G13">
      <formula1>"N, S"</formula1>
    </dataValidation>
    <dataValidation type="list" allowBlank="1" showInputMessage="1" showErrorMessage="1" sqref="J57:N58">
      <formula1>"(f / 0.944), (f / 2.832), (f / 2.124), (f x 30), (f x 10), (f / 0.075)"</formula1>
    </dataValidation>
    <dataValidation type="list" allowBlank="1" showInputMessage="1" showErrorMessage="1" sqref="AN40:AN41">
      <formula1>"1,2"</formula1>
    </dataValidation>
  </dataValidations>
  <pageMargins left="0.23" right="0.17" top="0.18" bottom="0.17" header="0" footer="0"/>
  <pageSetup fitToHeight="0" orientation="portrait" r:id="rId1"/>
  <headerFooter alignWithMargins="0"/>
  <rowBreaks count="1" manualBreakCount="1">
    <brk id="11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A1:T110"/>
  <sheetViews>
    <sheetView zoomScaleNormal="100" workbookViewId="0">
      <selection activeCell="N22" sqref="N22"/>
    </sheetView>
  </sheetViews>
  <sheetFormatPr defaultRowHeight="12.75" x14ac:dyDescent="0.2"/>
  <cols>
    <col min="4" max="4" width="13.140625" bestFit="1" customWidth="1"/>
    <col min="5" max="5" width="13.42578125" bestFit="1" customWidth="1"/>
    <col min="9" max="9" width="12.42578125" bestFit="1" customWidth="1"/>
    <col min="10" max="10" width="13.140625" bestFit="1" customWidth="1"/>
    <col min="11" max="19" width="9.28515625" bestFit="1" customWidth="1"/>
  </cols>
  <sheetData>
    <row r="1" spans="1:20" x14ac:dyDescent="0.2">
      <c r="A1" s="212" t="s">
        <v>476</v>
      </c>
      <c r="B1" s="212" t="s">
        <v>477</v>
      </c>
      <c r="C1" s="212" t="s">
        <v>478</v>
      </c>
      <c r="D1" s="212" t="s">
        <v>479</v>
      </c>
      <c r="E1" s="212" t="s">
        <v>480</v>
      </c>
    </row>
    <row r="2" spans="1:20" x14ac:dyDescent="0.2">
      <c r="A2">
        <f>IF('Density &amp; Moisture'!T65="",0,'Density &amp; Moisture'!T65)</f>
        <v>15.2</v>
      </c>
      <c r="B2">
        <f>IF('Density &amp; Moisture'!AC65="",0,'Density &amp; Moisture'!AC65)</f>
        <v>13</v>
      </c>
      <c r="C2">
        <f>IF('Density &amp; Moisture'!AL65="",0,'Density &amp; Moisture'!AL65)</f>
        <v>18.600000000000001</v>
      </c>
      <c r="D2" s="211">
        <f>IF(C3&gt;0,((62.4/C3) - (1/2.7))*100,0)</f>
        <v>21.83088749126485</v>
      </c>
      <c r="E2">
        <f>D2-C2</f>
        <v>3.2308874912648484</v>
      </c>
    </row>
    <row r="3" spans="1:20" x14ac:dyDescent="0.2">
      <c r="A3">
        <f>IF('Density &amp; Moisture'!T67="",0,'Density &amp; Moisture'!T67)</f>
        <v>109.1</v>
      </c>
      <c r="B3">
        <f>IF('Density &amp; Moisture'!AC67="",0,'Density &amp; Moisture'!AC67)</f>
        <v>106.5</v>
      </c>
      <c r="C3">
        <f>IF('Density &amp; Moisture'!AL67="",0,'Density &amp; Moisture'!AL67)</f>
        <v>106</v>
      </c>
    </row>
    <row r="4" spans="1:20" x14ac:dyDescent="0.2">
      <c r="G4" s="212" t="s">
        <v>483</v>
      </c>
    </row>
    <row r="5" spans="1:20" x14ac:dyDescent="0.2">
      <c r="G5" s="212" t="s">
        <v>484</v>
      </c>
    </row>
    <row r="6" spans="1:20" x14ac:dyDescent="0.2">
      <c r="A6" s="447" t="s">
        <v>481</v>
      </c>
      <c r="B6" s="448"/>
      <c r="C6" s="447" t="s">
        <v>482</v>
      </c>
      <c r="D6" s="451"/>
      <c r="E6" s="448"/>
    </row>
    <row r="7" spans="1:20" x14ac:dyDescent="0.2">
      <c r="A7" s="213" t="s">
        <v>485</v>
      </c>
      <c r="B7" s="214" t="s">
        <v>486</v>
      </c>
      <c r="C7" s="213" t="s">
        <v>475</v>
      </c>
      <c r="D7" s="215" t="s">
        <v>487</v>
      </c>
      <c r="E7" s="214" t="s">
        <v>488</v>
      </c>
    </row>
    <row r="8" spans="1:20" x14ac:dyDescent="0.2">
      <c r="A8" s="188">
        <f>IF(SUM(A2:B2)&gt;0,SLOPE(A3:B3,A2:B2),1)</f>
        <v>1.1818181818181794</v>
      </c>
      <c r="B8" s="187">
        <f>IF(SUM(A2:B2)&gt;0,INTERCEPT(A3:B3,A2:B2),1)</f>
        <v>91.136363636363669</v>
      </c>
      <c r="C8" s="188">
        <f>1/A8</f>
        <v>0.84615384615384781</v>
      </c>
      <c r="D8" s="186">
        <f>(-B8/A8)+100/2.7+E2</f>
        <v>-36.847460087082908</v>
      </c>
      <c r="E8" s="187">
        <v>-6240</v>
      </c>
    </row>
    <row r="9" spans="1:20" x14ac:dyDescent="0.2">
      <c r="J9" s="449" t="s">
        <v>489</v>
      </c>
      <c r="K9" s="450"/>
    </row>
    <row r="10" spans="1:20" x14ac:dyDescent="0.2">
      <c r="B10" s="275" t="s">
        <v>476</v>
      </c>
      <c r="C10" s="275" t="s">
        <v>478</v>
      </c>
      <c r="D10" s="275" t="s">
        <v>599</v>
      </c>
      <c r="F10" s="275" t="s">
        <v>600</v>
      </c>
      <c r="G10" s="275" t="s">
        <v>601</v>
      </c>
      <c r="H10" s="275" t="s">
        <v>600</v>
      </c>
      <c r="I10" s="275" t="s">
        <v>602</v>
      </c>
      <c r="J10">
        <f>(-D8+SQRT(D8*D8-4*C8*E8))/(2*C8)</f>
        <v>110.3659972415183</v>
      </c>
      <c r="K10">
        <f>(-D8-SQRT(D8*D8-4*C8*E8))/(2*C8)</f>
        <v>-66.818998956784029</v>
      </c>
    </row>
    <row r="11" spans="1:20" x14ac:dyDescent="0.2">
      <c r="A11">
        <f>A2-2</f>
        <v>13.2</v>
      </c>
      <c r="B11">
        <f t="shared" ref="B11:B25" si="0">A11*$A$8+$B$8</f>
        <v>106.73636363636363</v>
      </c>
      <c r="C11">
        <f t="shared" ref="C11:C26" si="1">6240/(A11+100/2.7+$E$2)</f>
        <v>116.70548380266779</v>
      </c>
      <c r="D11">
        <f>IF(A11&lt;=$J$12,B11,C11)</f>
        <v>106.73636363636363</v>
      </c>
      <c r="F11">
        <f>A11</f>
        <v>13.2</v>
      </c>
      <c r="G11">
        <f>D11</f>
        <v>106.73636363636363</v>
      </c>
      <c r="H11">
        <f>IF(ABS($J$12-F11)&lt;1,F11,0)</f>
        <v>0</v>
      </c>
      <c r="I11">
        <f>IF(H11&lt;&gt;0,$J$17*H11^10+$K$17*H11^9+$L$17*H11^8+$M$17*H11^7+$N$17*H11^6+$O$17*H11^5+$P$17*H11^4+$Q$17*H11^3+$R$17*H11^2+$S$17*H11+$T$17,0)</f>
        <v>0</v>
      </c>
      <c r="J11" s="217" t="s">
        <v>490</v>
      </c>
      <c r="K11" s="216"/>
      <c r="M11" t="str">
        <f>"Opt. Moisture Content = "&amp;ROUND(J12,1)&amp;" %"</f>
        <v>Opt. Moisture Content = 16.3 %</v>
      </c>
    </row>
    <row r="12" spans="1:20" x14ac:dyDescent="0.2">
      <c r="A12">
        <f>A11+0.2</f>
        <v>13.399999999999999</v>
      </c>
      <c r="B12">
        <f t="shared" si="0"/>
        <v>106.97272727272727</v>
      </c>
      <c r="C12">
        <f t="shared" si="1"/>
        <v>116.27056672760513</v>
      </c>
      <c r="D12">
        <f t="shared" ref="D12:D70" si="2">IF(A12&lt;=$J$12,B12,C12)</f>
        <v>106.97272727272727</v>
      </c>
      <c r="F12">
        <f t="shared" ref="F12:F70" si="3">A12</f>
        <v>13.399999999999999</v>
      </c>
      <c r="G12">
        <f t="shared" ref="G12:G70" si="4">D12</f>
        <v>106.97272727272727</v>
      </c>
      <c r="H12">
        <f t="shared" ref="H12:H70" si="5">IF(ABS($J$12-F12)&lt;1,F12,0)</f>
        <v>0</v>
      </c>
      <c r="I12">
        <f t="shared" ref="I12:I70" si="6">IF(H12&lt;&gt;0,$J$17*H12^10+$K$17*H12^9+$L$17*H12^8+$M$17*H12^7+$N$17*H12^6+$O$17*H12^5+$P$17*H12^4+$Q$17*H12^3+$R$17*H12^2+$S$17*H12+$T$17,0)</f>
        <v>0</v>
      </c>
      <c r="J12" s="218">
        <f>(J10-B8)/A8</f>
        <v>16.271228435130876</v>
      </c>
      <c r="K12" s="216">
        <f ca="1">MAX(I11:I110)</f>
        <v>109.92549873537791</v>
      </c>
      <c r="M12" t="str">
        <f ca="1">"Max Dry Density = "&amp;ROUND(K12,1)&amp;" lb/ft"&amp;CHAR(179)</f>
        <v>Max Dry Density = 109.9 lb/ft³</v>
      </c>
    </row>
    <row r="13" spans="1:20" x14ac:dyDescent="0.2">
      <c r="A13">
        <f t="shared" ref="A13:A55" si="7">A12+0.2</f>
        <v>13.599999999999998</v>
      </c>
      <c r="B13">
        <f t="shared" si="0"/>
        <v>107.2090909090909</v>
      </c>
      <c r="C13">
        <f t="shared" si="1"/>
        <v>115.83887915936953</v>
      </c>
      <c r="D13">
        <f t="shared" si="2"/>
        <v>107.2090909090909</v>
      </c>
      <c r="F13">
        <f t="shared" si="3"/>
        <v>13.599999999999998</v>
      </c>
      <c r="G13">
        <f t="shared" si="4"/>
        <v>107.2090909090909</v>
      </c>
      <c r="H13">
        <f t="shared" si="5"/>
        <v>0</v>
      </c>
      <c r="I13">
        <f t="shared" si="6"/>
        <v>0</v>
      </c>
    </row>
    <row r="14" spans="1:20" x14ac:dyDescent="0.2">
      <c r="A14">
        <f t="shared" si="7"/>
        <v>13.799999999999997</v>
      </c>
      <c r="B14">
        <f t="shared" si="0"/>
        <v>107.44545454545454</v>
      </c>
      <c r="C14">
        <f t="shared" si="1"/>
        <v>115.4103852596315</v>
      </c>
      <c r="D14">
        <f t="shared" si="2"/>
        <v>107.44545454545454</v>
      </c>
      <c r="F14">
        <f t="shared" si="3"/>
        <v>13.799999999999997</v>
      </c>
      <c r="G14">
        <f t="shared" si="4"/>
        <v>107.44545454545454</v>
      </c>
      <c r="H14">
        <f t="shared" si="5"/>
        <v>0</v>
      </c>
      <c r="I14">
        <f t="shared" si="6"/>
        <v>0</v>
      </c>
      <c r="J14" s="212" t="s">
        <v>491</v>
      </c>
      <c r="K14" s="212" t="s">
        <v>478</v>
      </c>
      <c r="L14" s="212" t="s">
        <v>492</v>
      </c>
      <c r="M14" s="275" t="s">
        <v>603</v>
      </c>
      <c r="N14" s="275" t="s">
        <v>604</v>
      </c>
    </row>
    <row r="15" spans="1:20" x14ac:dyDescent="0.2">
      <c r="A15">
        <f t="shared" si="7"/>
        <v>13.999999999999996</v>
      </c>
      <c r="B15">
        <f t="shared" si="0"/>
        <v>107.68181818181817</v>
      </c>
      <c r="C15">
        <f t="shared" si="1"/>
        <v>114.98504971837841</v>
      </c>
      <c r="D15">
        <f t="shared" si="2"/>
        <v>107.68181818181817</v>
      </c>
      <c r="F15">
        <f t="shared" si="3"/>
        <v>13.999999999999996</v>
      </c>
      <c r="G15">
        <f t="shared" si="4"/>
        <v>107.68181818181817</v>
      </c>
      <c r="H15">
        <f t="shared" si="5"/>
        <v>0</v>
      </c>
      <c r="I15">
        <f t="shared" si="6"/>
        <v>0</v>
      </c>
      <c r="J15">
        <f>MATCH(J12,A11:A70,1)</f>
        <v>16</v>
      </c>
      <c r="K15">
        <f>MIN(J15,60-J15)</f>
        <v>16</v>
      </c>
      <c r="L15">
        <f>SUM(J15:K15)</f>
        <v>32</v>
      </c>
      <c r="M15">
        <f>J15-5</f>
        <v>11</v>
      </c>
      <c r="N15">
        <f>COUNTIF(H11:H70,"&gt;0")</f>
        <v>10</v>
      </c>
    </row>
    <row r="16" spans="1:20" x14ac:dyDescent="0.2">
      <c r="A16">
        <f t="shared" si="7"/>
        <v>14.199999999999996</v>
      </c>
      <c r="B16">
        <f t="shared" si="0"/>
        <v>107.91818181818181</v>
      </c>
      <c r="C16">
        <f t="shared" si="1"/>
        <v>114.56283774421506</v>
      </c>
      <c r="D16">
        <f t="shared" si="2"/>
        <v>107.91818181818181</v>
      </c>
      <c r="F16">
        <f t="shared" si="3"/>
        <v>14.199999999999996</v>
      </c>
      <c r="G16">
        <f t="shared" si="4"/>
        <v>107.91818181818181</v>
      </c>
      <c r="H16">
        <f t="shared" si="5"/>
        <v>0</v>
      </c>
      <c r="I16">
        <f t="shared" si="6"/>
        <v>0</v>
      </c>
      <c r="J16" s="212" t="s">
        <v>493</v>
      </c>
      <c r="K16" s="212" t="s">
        <v>494</v>
      </c>
      <c r="L16" s="212" t="s">
        <v>495</v>
      </c>
      <c r="M16" s="212" t="s">
        <v>496</v>
      </c>
      <c r="N16" s="212" t="s">
        <v>497</v>
      </c>
      <c r="O16" s="212" t="s">
        <v>498</v>
      </c>
      <c r="P16" s="212" t="s">
        <v>499</v>
      </c>
      <c r="Q16" s="212" t="s">
        <v>500</v>
      </c>
      <c r="R16" s="212" t="s">
        <v>501</v>
      </c>
      <c r="S16" s="212" t="s">
        <v>485</v>
      </c>
      <c r="T16" s="212" t="s">
        <v>486</v>
      </c>
    </row>
    <row r="17" spans="1:20" x14ac:dyDescent="0.2">
      <c r="A17">
        <f t="shared" si="7"/>
        <v>14.399999999999995</v>
      </c>
      <c r="B17">
        <f t="shared" si="0"/>
        <v>108.15454545454544</v>
      </c>
      <c r="C17">
        <f t="shared" si="1"/>
        <v>114.14371505487679</v>
      </c>
      <c r="D17">
        <f t="shared" si="2"/>
        <v>108.15454545454544</v>
      </c>
      <c r="F17">
        <f t="shared" si="3"/>
        <v>14.399999999999995</v>
      </c>
      <c r="G17">
        <f t="shared" si="4"/>
        <v>108.15454545454544</v>
      </c>
      <c r="H17">
        <f t="shared" si="5"/>
        <v>0</v>
      </c>
      <c r="I17">
        <f t="shared" si="6"/>
        <v>0</v>
      </c>
      <c r="J17">
        <f t="array" aca="1" ref="J17:T17" ca="1">LINEST(INDIRECT("G11:"&amp;ADDRESS(10+L15,7)), INDIRECT("F11:"&amp;ADDRESS(10+L15,6))^{1,2,3,4,5,6,7,8,9,10},TRUE,FALSE)</f>
        <v>-4.3820681042682705E-8</v>
      </c>
      <c r="K17">
        <f ca="1"/>
        <v>3.9305821822129797E-6</v>
      </c>
      <c r="L17">
        <f ca="1"/>
        <v>-1.4201351859226621E-4</v>
      </c>
      <c r="M17">
        <f ca="1"/>
        <v>2.5920927608322451E-3</v>
      </c>
      <c r="N17">
        <f ca="1"/>
        <v>-2.4020638315008783E-2</v>
      </c>
      <c r="O17">
        <f ca="1"/>
        <v>9.1119100163008268E-2</v>
      </c>
      <c r="P17">
        <f ca="1"/>
        <v>0</v>
      </c>
      <c r="Q17">
        <f ca="1"/>
        <v>0</v>
      </c>
      <c r="R17">
        <f ca="1"/>
        <v>0</v>
      </c>
      <c r="S17">
        <f ca="1"/>
        <v>0</v>
      </c>
      <c r="T17">
        <f ca="1"/>
        <v>-228.339195418288</v>
      </c>
    </row>
    <row r="18" spans="1:20" x14ac:dyDescent="0.2">
      <c r="A18">
        <f t="shared" si="7"/>
        <v>14.599999999999994</v>
      </c>
      <c r="B18">
        <f t="shared" si="0"/>
        <v>108.39090909090908</v>
      </c>
      <c r="C18">
        <f t="shared" si="1"/>
        <v>113.72764786795048</v>
      </c>
      <c r="D18">
        <f t="shared" si="2"/>
        <v>108.39090909090908</v>
      </c>
      <c r="F18">
        <f t="shared" si="3"/>
        <v>14.599999999999994</v>
      </c>
      <c r="G18">
        <f t="shared" si="4"/>
        <v>108.39090909090908</v>
      </c>
      <c r="H18">
        <f t="shared" si="5"/>
        <v>0</v>
      </c>
      <c r="I18">
        <f t="shared" si="6"/>
        <v>0</v>
      </c>
    </row>
    <row r="19" spans="1:20" x14ac:dyDescent="0.2">
      <c r="A19">
        <f t="shared" si="7"/>
        <v>14.799999999999994</v>
      </c>
      <c r="B19">
        <f t="shared" si="0"/>
        <v>108.62727272727273</v>
      </c>
      <c r="C19">
        <f t="shared" si="1"/>
        <v>113.31460289179743</v>
      </c>
      <c r="D19">
        <f t="shared" si="2"/>
        <v>108.62727272727273</v>
      </c>
      <c r="F19">
        <f t="shared" si="3"/>
        <v>14.799999999999994</v>
      </c>
      <c r="G19">
        <f t="shared" si="4"/>
        <v>108.62727272727273</v>
      </c>
      <c r="H19">
        <f t="shared" si="5"/>
        <v>0</v>
      </c>
      <c r="I19">
        <f t="shared" si="6"/>
        <v>0</v>
      </c>
    </row>
    <row r="20" spans="1:20" x14ac:dyDescent="0.2">
      <c r="A20">
        <f t="shared" si="7"/>
        <v>14.999999999999993</v>
      </c>
      <c r="B20">
        <f t="shared" si="0"/>
        <v>108.86363636363635</v>
      </c>
      <c r="C20">
        <f t="shared" si="1"/>
        <v>112.90454731667351</v>
      </c>
      <c r="D20">
        <f t="shared" si="2"/>
        <v>108.86363636363635</v>
      </c>
      <c r="F20">
        <f t="shared" si="3"/>
        <v>14.999999999999993</v>
      </c>
      <c r="G20">
        <f t="shared" si="4"/>
        <v>108.86363636363635</v>
      </c>
      <c r="H20">
        <f t="shared" si="5"/>
        <v>0</v>
      </c>
      <c r="I20">
        <f t="shared" si="6"/>
        <v>0</v>
      </c>
    </row>
    <row r="21" spans="1:20" x14ac:dyDescent="0.2">
      <c r="A21">
        <f t="shared" si="7"/>
        <v>15.199999999999992</v>
      </c>
      <c r="B21">
        <f t="shared" si="0"/>
        <v>109.1</v>
      </c>
      <c r="C21">
        <f t="shared" si="1"/>
        <v>112.49744880604125</v>
      </c>
      <c r="D21">
        <f t="shared" si="2"/>
        <v>109.1</v>
      </c>
      <c r="F21">
        <f t="shared" si="3"/>
        <v>15.199999999999992</v>
      </c>
      <c r="G21">
        <f t="shared" si="4"/>
        <v>109.1</v>
      </c>
      <c r="H21">
        <f t="shared" si="5"/>
        <v>0</v>
      </c>
      <c r="I21">
        <f t="shared" si="6"/>
        <v>0</v>
      </c>
    </row>
    <row r="22" spans="1:20" x14ac:dyDescent="0.2">
      <c r="A22">
        <f t="shared" si="7"/>
        <v>15.399999999999991</v>
      </c>
      <c r="B22">
        <f t="shared" si="0"/>
        <v>109.33636363636361</v>
      </c>
      <c r="C22">
        <f t="shared" si="1"/>
        <v>112.09327548806942</v>
      </c>
      <c r="D22">
        <f t="shared" si="2"/>
        <v>109.33636363636361</v>
      </c>
      <c r="F22">
        <f t="shared" si="3"/>
        <v>15.399999999999991</v>
      </c>
      <c r="G22">
        <f t="shared" si="4"/>
        <v>109.33636363636361</v>
      </c>
      <c r="H22">
        <f t="shared" si="5"/>
        <v>15.399999999999991</v>
      </c>
      <c r="I22">
        <f t="shared" ca="1" si="6"/>
        <v>109.4625378378114</v>
      </c>
    </row>
    <row r="23" spans="1:20" x14ac:dyDescent="0.2">
      <c r="A23">
        <f t="shared" si="7"/>
        <v>15.599999999999991</v>
      </c>
      <c r="B23">
        <f t="shared" si="0"/>
        <v>109.57272727272726</v>
      </c>
      <c r="C23">
        <f t="shared" si="1"/>
        <v>111.69199594731511</v>
      </c>
      <c r="D23">
        <f t="shared" si="2"/>
        <v>109.57272727272726</v>
      </c>
      <c r="F23">
        <f t="shared" si="3"/>
        <v>15.599999999999991</v>
      </c>
      <c r="G23">
        <f t="shared" si="4"/>
        <v>109.57272727272726</v>
      </c>
      <c r="H23">
        <f t="shared" si="5"/>
        <v>15.599999999999991</v>
      </c>
      <c r="I23">
        <f t="shared" ca="1" si="6"/>
        <v>109.66881600438501</v>
      </c>
    </row>
    <row r="24" spans="1:20" x14ac:dyDescent="0.2">
      <c r="A24">
        <f t="shared" si="7"/>
        <v>15.79999999999999</v>
      </c>
      <c r="B24">
        <f t="shared" si="0"/>
        <v>109.80909090909088</v>
      </c>
      <c r="C24">
        <f t="shared" si="1"/>
        <v>111.29357921658368</v>
      </c>
      <c r="D24">
        <f t="shared" si="2"/>
        <v>109.80909090909088</v>
      </c>
      <c r="F24">
        <f t="shared" si="3"/>
        <v>15.79999999999999</v>
      </c>
      <c r="G24">
        <f t="shared" si="4"/>
        <v>109.80909090909088</v>
      </c>
      <c r="H24">
        <f t="shared" si="5"/>
        <v>15.79999999999999</v>
      </c>
      <c r="I24">
        <f t="shared" ca="1" si="6"/>
        <v>109.82271527279227</v>
      </c>
    </row>
    <row r="25" spans="1:20" x14ac:dyDescent="0.2">
      <c r="A25">
        <f t="shared" si="7"/>
        <v>15.999999999999989</v>
      </c>
      <c r="B25">
        <f t="shared" si="0"/>
        <v>110.04545454545453</v>
      </c>
      <c r="C25">
        <f t="shared" si="1"/>
        <v>110.89799476896253</v>
      </c>
      <c r="D25">
        <f t="shared" si="2"/>
        <v>110.04545454545453</v>
      </c>
      <c r="F25">
        <f t="shared" si="3"/>
        <v>15.999999999999989</v>
      </c>
      <c r="G25">
        <f t="shared" si="4"/>
        <v>110.04545454545453</v>
      </c>
      <c r="H25">
        <f t="shared" si="5"/>
        <v>15.999999999999989</v>
      </c>
      <c r="I25">
        <f t="shared" ca="1" si="6"/>
        <v>109.91169898917724</v>
      </c>
    </row>
    <row r="26" spans="1:20" x14ac:dyDescent="0.2">
      <c r="A26">
        <f t="shared" si="7"/>
        <v>16.199999999999989</v>
      </c>
      <c r="B26">
        <f>A26*$A$8+$B$8</f>
        <v>110.28181818181817</v>
      </c>
      <c r="C26">
        <f t="shared" si="1"/>
        <v>110.50521251002408</v>
      </c>
      <c r="D26">
        <f t="shared" si="2"/>
        <v>110.28181818181817</v>
      </c>
      <c r="F26">
        <f t="shared" si="3"/>
        <v>16.199999999999989</v>
      </c>
      <c r="G26">
        <f t="shared" si="4"/>
        <v>110.28181818181817</v>
      </c>
      <c r="H26">
        <f t="shared" si="5"/>
        <v>16.199999999999989</v>
      </c>
      <c r="I26">
        <f t="shared" ca="1" si="6"/>
        <v>109.92549873537791</v>
      </c>
    </row>
    <row r="27" spans="1:20" x14ac:dyDescent="0.2">
      <c r="A27">
        <f t="shared" si="7"/>
        <v>16.399999999999988</v>
      </c>
      <c r="B27">
        <f t="shared" ref="B27:B70" si="8">A27*$A$8+$B$8</f>
        <v>110.5181818181818</v>
      </c>
      <c r="C27">
        <f>6240/(A27+100/2.7+$E$2)</f>
        <v>110.11520277019379</v>
      </c>
      <c r="D27">
        <f t="shared" si="2"/>
        <v>110.11520277019379</v>
      </c>
      <c r="F27">
        <f t="shared" si="3"/>
        <v>16.399999999999988</v>
      </c>
      <c r="G27">
        <f t="shared" si="4"/>
        <v>110.11520277019379</v>
      </c>
      <c r="H27">
        <f t="shared" si="5"/>
        <v>16.399999999999988</v>
      </c>
      <c r="I27">
        <f t="shared" ca="1" si="6"/>
        <v>109.85705044059432</v>
      </c>
    </row>
    <row r="28" spans="1:20" x14ac:dyDescent="0.2">
      <c r="A28">
        <f t="shared" si="7"/>
        <v>16.599999999999987</v>
      </c>
      <c r="B28">
        <f t="shared" si="8"/>
        <v>110.75454545454544</v>
      </c>
      <c r="C28">
        <f t="shared" ref="C28:C70" si="9">6240/(A28+100/2.7+$E$2)</f>
        <v>109.7279362972794</v>
      </c>
      <c r="D28">
        <f t="shared" si="2"/>
        <v>109.7279362972794</v>
      </c>
      <c r="F28">
        <f t="shared" si="3"/>
        <v>16.599999999999987</v>
      </c>
      <c r="G28">
        <f t="shared" si="4"/>
        <v>109.7279362972794</v>
      </c>
      <c r="H28">
        <f t="shared" si="5"/>
        <v>16.599999999999987</v>
      </c>
      <c r="I28">
        <f t="shared" ca="1" si="6"/>
        <v>109.70331909960078</v>
      </c>
    </row>
    <row r="29" spans="1:20" x14ac:dyDescent="0.2">
      <c r="A29">
        <f t="shared" si="7"/>
        <v>16.799999999999986</v>
      </c>
      <c r="B29">
        <f t="shared" si="8"/>
        <v>110.99090909090907</v>
      </c>
      <c r="C29">
        <f t="shared" si="9"/>
        <v>109.34338424915694</v>
      </c>
      <c r="D29">
        <f t="shared" si="2"/>
        <v>109.34338424915694</v>
      </c>
      <c r="F29">
        <f t="shared" si="3"/>
        <v>16.799999999999986</v>
      </c>
      <c r="G29">
        <f t="shared" si="4"/>
        <v>109.34338424915694</v>
      </c>
      <c r="H29">
        <f t="shared" si="5"/>
        <v>16.799999999999986</v>
      </c>
      <c r="I29">
        <f t="shared" ca="1" si="6"/>
        <v>109.46594962077506</v>
      </c>
    </row>
    <row r="30" spans="1:20" x14ac:dyDescent="0.2">
      <c r="A30">
        <f t="shared" si="7"/>
        <v>16.999999999999986</v>
      </c>
      <c r="B30">
        <f t="shared" si="8"/>
        <v>111.22727272727271</v>
      </c>
      <c r="C30">
        <f t="shared" si="9"/>
        <v>108.96151818661046</v>
      </c>
      <c r="D30">
        <f t="shared" si="2"/>
        <v>108.96151818661046</v>
      </c>
      <c r="F30">
        <f t="shared" si="3"/>
        <v>16.999999999999986</v>
      </c>
      <c r="G30">
        <f t="shared" si="4"/>
        <v>108.96151818661046</v>
      </c>
      <c r="H30">
        <f t="shared" si="5"/>
        <v>16.999999999999986</v>
      </c>
      <c r="I30">
        <f t="shared" ca="1" si="6"/>
        <v>109.1516723909881</v>
      </c>
    </row>
    <row r="31" spans="1:20" x14ac:dyDescent="0.2">
      <c r="A31">
        <f t="shared" si="7"/>
        <v>17.199999999999985</v>
      </c>
      <c r="B31">
        <f t="shared" si="8"/>
        <v>111.46363636363634</v>
      </c>
      <c r="C31">
        <f t="shared" si="9"/>
        <v>108.58231006632084</v>
      </c>
      <c r="D31">
        <f t="shared" si="2"/>
        <v>108.58231006632084</v>
      </c>
      <c r="F31">
        <f t="shared" si="3"/>
        <v>17.199999999999985</v>
      </c>
      <c r="G31">
        <f t="shared" si="4"/>
        <v>108.58231006632084</v>
      </c>
      <c r="H31">
        <f t="shared" si="5"/>
        <v>17.199999999999985</v>
      </c>
      <c r="I31">
        <f t="shared" ca="1" si="6"/>
        <v>108.77238261688035</v>
      </c>
    </row>
    <row r="32" spans="1:20" x14ac:dyDescent="0.2">
      <c r="A32">
        <f t="shared" si="7"/>
        <v>17.399999999999984</v>
      </c>
      <c r="B32">
        <f t="shared" si="8"/>
        <v>111.69999999999997</v>
      </c>
      <c r="C32">
        <f t="shared" si="9"/>
        <v>108.20573223400082</v>
      </c>
      <c r="D32">
        <f t="shared" si="2"/>
        <v>108.20573223400082</v>
      </c>
      <c r="F32">
        <f t="shared" si="3"/>
        <v>17.399999999999984</v>
      </c>
      <c r="G32">
        <f t="shared" si="4"/>
        <v>108.20573223400082</v>
      </c>
      <c r="H32">
        <f t="shared" si="5"/>
        <v>0</v>
      </c>
      <c r="I32">
        <f t="shared" si="6"/>
        <v>0</v>
      </c>
    </row>
    <row r="33" spans="1:9" x14ac:dyDescent="0.2">
      <c r="A33">
        <f t="shared" si="7"/>
        <v>17.599999999999984</v>
      </c>
      <c r="B33">
        <f t="shared" si="8"/>
        <v>111.93636363636361</v>
      </c>
      <c r="C33">
        <f t="shared" si="9"/>
        <v>107.83175741767202</v>
      </c>
      <c r="D33">
        <f t="shared" si="2"/>
        <v>107.83175741767202</v>
      </c>
      <c r="F33">
        <f t="shared" si="3"/>
        <v>17.599999999999984</v>
      </c>
      <c r="G33">
        <f t="shared" si="4"/>
        <v>107.83175741767202</v>
      </c>
      <c r="H33">
        <f t="shared" si="5"/>
        <v>0</v>
      </c>
      <c r="I33">
        <f t="shared" si="6"/>
        <v>0</v>
      </c>
    </row>
    <row r="34" spans="1:9" x14ac:dyDescent="0.2">
      <c r="A34">
        <f t="shared" si="7"/>
        <v>17.799999999999983</v>
      </c>
      <c r="B34">
        <f t="shared" si="8"/>
        <v>112.17272727272724</v>
      </c>
      <c r="C34">
        <f t="shared" si="9"/>
        <v>107.46035872108139</v>
      </c>
      <c r="D34">
        <f t="shared" si="2"/>
        <v>107.46035872108139</v>
      </c>
      <c r="F34">
        <f t="shared" si="3"/>
        <v>17.799999999999983</v>
      </c>
      <c r="G34">
        <f t="shared" si="4"/>
        <v>107.46035872108139</v>
      </c>
      <c r="H34">
        <f t="shared" si="5"/>
        <v>0</v>
      </c>
      <c r="I34">
        <f t="shared" si="6"/>
        <v>0</v>
      </c>
    </row>
    <row r="35" spans="1:9" x14ac:dyDescent="0.2">
      <c r="A35">
        <f t="shared" si="7"/>
        <v>17.999999999999982</v>
      </c>
      <c r="B35">
        <f t="shared" si="8"/>
        <v>112.40909090909088</v>
      </c>
      <c r="C35">
        <f t="shared" si="9"/>
        <v>107.09150961725278</v>
      </c>
      <c r="D35">
        <f t="shared" si="2"/>
        <v>107.09150961725278</v>
      </c>
      <c r="F35">
        <f t="shared" si="3"/>
        <v>17.999999999999982</v>
      </c>
      <c r="G35">
        <f t="shared" si="4"/>
        <v>107.09150961725278</v>
      </c>
      <c r="H35">
        <f t="shared" si="5"/>
        <v>0</v>
      </c>
      <c r="I35">
        <f t="shared" si="6"/>
        <v>0</v>
      </c>
    </row>
    <row r="36" spans="1:9" x14ac:dyDescent="0.2">
      <c r="A36">
        <f t="shared" si="7"/>
        <v>18.199999999999982</v>
      </c>
      <c r="B36">
        <f t="shared" si="8"/>
        <v>112.64545454545451</v>
      </c>
      <c r="C36">
        <f t="shared" si="9"/>
        <v>106.7251839421712</v>
      </c>
      <c r="D36">
        <f t="shared" si="2"/>
        <v>106.7251839421712</v>
      </c>
      <c r="F36">
        <f t="shared" si="3"/>
        <v>18.199999999999982</v>
      </c>
      <c r="G36">
        <f t="shared" si="4"/>
        <v>106.7251839421712</v>
      </c>
      <c r="H36">
        <f t="shared" si="5"/>
        <v>0</v>
      </c>
      <c r="I36">
        <f t="shared" si="6"/>
        <v>0</v>
      </c>
    </row>
    <row r="37" spans="1:9" x14ac:dyDescent="0.2">
      <c r="A37">
        <f t="shared" si="7"/>
        <v>18.399999999999981</v>
      </c>
      <c r="B37">
        <f t="shared" si="8"/>
        <v>112.88181818181815</v>
      </c>
      <c r="C37">
        <f t="shared" si="9"/>
        <v>106.36135588859591</v>
      </c>
      <c r="D37">
        <f t="shared" si="2"/>
        <v>106.36135588859591</v>
      </c>
      <c r="F37">
        <f t="shared" si="3"/>
        <v>18.399999999999981</v>
      </c>
      <c r="G37">
        <f t="shared" si="4"/>
        <v>106.36135588859591</v>
      </c>
      <c r="H37">
        <f t="shared" si="5"/>
        <v>0</v>
      </c>
      <c r="I37">
        <f t="shared" si="6"/>
        <v>0</v>
      </c>
    </row>
    <row r="38" spans="1:9" x14ac:dyDescent="0.2">
      <c r="A38">
        <f t="shared" si="7"/>
        <v>18.59999999999998</v>
      </c>
      <c r="B38">
        <f t="shared" si="8"/>
        <v>113.11818181818178</v>
      </c>
      <c r="C38">
        <f t="shared" si="9"/>
        <v>106.00000000000003</v>
      </c>
      <c r="D38">
        <f t="shared" si="2"/>
        <v>106.00000000000003</v>
      </c>
      <c r="F38">
        <f t="shared" si="3"/>
        <v>18.59999999999998</v>
      </c>
      <c r="G38">
        <f t="shared" si="4"/>
        <v>106.00000000000003</v>
      </c>
      <c r="H38">
        <f t="shared" si="5"/>
        <v>0</v>
      </c>
      <c r="I38">
        <f t="shared" si="6"/>
        <v>0</v>
      </c>
    </row>
    <row r="39" spans="1:9" x14ac:dyDescent="0.2">
      <c r="A39">
        <f t="shared" si="7"/>
        <v>18.799999999999979</v>
      </c>
      <c r="B39">
        <f t="shared" si="8"/>
        <v>113.35454545454542</v>
      </c>
      <c r="C39">
        <f t="shared" si="9"/>
        <v>105.641091164633</v>
      </c>
      <c r="D39">
        <f t="shared" si="2"/>
        <v>105.641091164633</v>
      </c>
      <c r="F39">
        <f t="shared" si="3"/>
        <v>18.799999999999979</v>
      </c>
      <c r="G39">
        <f t="shared" si="4"/>
        <v>105.641091164633</v>
      </c>
      <c r="H39">
        <f t="shared" si="5"/>
        <v>0</v>
      </c>
      <c r="I39">
        <f t="shared" si="6"/>
        <v>0</v>
      </c>
    </row>
    <row r="40" spans="1:9" x14ac:dyDescent="0.2">
      <c r="A40">
        <f t="shared" si="7"/>
        <v>18.999999999999979</v>
      </c>
      <c r="B40">
        <f t="shared" si="8"/>
        <v>113.59090909090905</v>
      </c>
      <c r="C40">
        <f t="shared" si="9"/>
        <v>105.28460460970334</v>
      </c>
      <c r="D40">
        <f t="shared" si="2"/>
        <v>105.28460460970334</v>
      </c>
      <c r="F40">
        <f t="shared" si="3"/>
        <v>18.999999999999979</v>
      </c>
      <c r="G40">
        <f t="shared" si="4"/>
        <v>105.28460460970334</v>
      </c>
      <c r="H40">
        <f t="shared" si="5"/>
        <v>0</v>
      </c>
      <c r="I40">
        <f t="shared" si="6"/>
        <v>0</v>
      </c>
    </row>
    <row r="41" spans="1:9" x14ac:dyDescent="0.2">
      <c r="A41">
        <f t="shared" si="7"/>
        <v>19.199999999999978</v>
      </c>
      <c r="B41">
        <f t="shared" si="8"/>
        <v>113.82727272727269</v>
      </c>
      <c r="C41">
        <f t="shared" si="9"/>
        <v>104.9305158956787</v>
      </c>
      <c r="D41">
        <f t="shared" si="2"/>
        <v>104.9305158956787</v>
      </c>
      <c r="F41">
        <f t="shared" si="3"/>
        <v>19.199999999999978</v>
      </c>
      <c r="G41">
        <f t="shared" si="4"/>
        <v>104.9305158956787</v>
      </c>
      <c r="H41">
        <f t="shared" si="5"/>
        <v>0</v>
      </c>
      <c r="I41">
        <f t="shared" si="6"/>
        <v>0</v>
      </c>
    </row>
    <row r="42" spans="1:9" x14ac:dyDescent="0.2">
      <c r="A42">
        <f t="shared" si="7"/>
        <v>19.399999999999977</v>
      </c>
      <c r="B42">
        <f t="shared" si="8"/>
        <v>114.06363636363632</v>
      </c>
      <c r="C42">
        <f t="shared" si="9"/>
        <v>104.57880091070076</v>
      </c>
      <c r="D42">
        <f t="shared" si="2"/>
        <v>104.57880091070076</v>
      </c>
      <c r="F42">
        <f t="shared" si="3"/>
        <v>19.399999999999977</v>
      </c>
      <c r="G42">
        <f t="shared" si="4"/>
        <v>104.57880091070076</v>
      </c>
      <c r="H42">
        <f t="shared" si="5"/>
        <v>0</v>
      </c>
      <c r="I42">
        <f t="shared" si="6"/>
        <v>0</v>
      </c>
    </row>
    <row r="43" spans="1:9" x14ac:dyDescent="0.2">
      <c r="A43">
        <f t="shared" si="7"/>
        <v>19.599999999999977</v>
      </c>
      <c r="B43">
        <f t="shared" si="8"/>
        <v>114.29999999999995</v>
      </c>
      <c r="C43">
        <f t="shared" si="9"/>
        <v>104.22943586511191</v>
      </c>
      <c r="D43">
        <f t="shared" si="2"/>
        <v>104.22943586511191</v>
      </c>
      <c r="F43">
        <f t="shared" si="3"/>
        <v>19.599999999999977</v>
      </c>
      <c r="G43">
        <f t="shared" si="4"/>
        <v>104.22943586511191</v>
      </c>
      <c r="H43">
        <f t="shared" si="5"/>
        <v>0</v>
      </c>
      <c r="I43">
        <f t="shared" si="6"/>
        <v>0</v>
      </c>
    </row>
    <row r="44" spans="1:9" x14ac:dyDescent="0.2">
      <c r="A44">
        <f t="shared" si="7"/>
        <v>19.799999999999976</v>
      </c>
      <c r="B44">
        <f t="shared" si="8"/>
        <v>114.53636363636359</v>
      </c>
      <c r="C44">
        <f t="shared" si="9"/>
        <v>103.88239728609126</v>
      </c>
      <c r="D44">
        <f t="shared" si="2"/>
        <v>103.88239728609126</v>
      </c>
      <c r="F44">
        <f t="shared" si="3"/>
        <v>19.799999999999976</v>
      </c>
      <c r="G44">
        <f t="shared" si="4"/>
        <v>103.88239728609126</v>
      </c>
      <c r="H44">
        <f t="shared" si="5"/>
        <v>0</v>
      </c>
      <c r="I44">
        <f t="shared" si="6"/>
        <v>0</v>
      </c>
    </row>
    <row r="45" spans="1:9" x14ac:dyDescent="0.2">
      <c r="A45">
        <f t="shared" si="7"/>
        <v>19.999999999999975</v>
      </c>
      <c r="B45">
        <f t="shared" si="8"/>
        <v>114.77272727272722</v>
      </c>
      <c r="C45">
        <f t="shared" si="9"/>
        <v>103.53766201239752</v>
      </c>
      <c r="D45">
        <f t="shared" si="2"/>
        <v>103.53766201239752</v>
      </c>
      <c r="F45">
        <f t="shared" si="3"/>
        <v>19.999999999999975</v>
      </c>
      <c r="G45">
        <f t="shared" si="4"/>
        <v>103.53766201239752</v>
      </c>
      <c r="H45">
        <f t="shared" si="5"/>
        <v>0</v>
      </c>
      <c r="I45">
        <f t="shared" si="6"/>
        <v>0</v>
      </c>
    </row>
    <row r="46" spans="1:9" x14ac:dyDescent="0.2">
      <c r="A46">
        <f t="shared" si="7"/>
        <v>20.199999999999974</v>
      </c>
      <c r="B46">
        <f t="shared" si="8"/>
        <v>115.00909090909086</v>
      </c>
      <c r="C46">
        <f t="shared" si="9"/>
        <v>103.19520718921622</v>
      </c>
      <c r="D46">
        <f t="shared" si="2"/>
        <v>103.19520718921622</v>
      </c>
      <c r="F46">
        <f t="shared" si="3"/>
        <v>20.199999999999974</v>
      </c>
      <c r="G46">
        <f t="shared" si="4"/>
        <v>103.19520718921622</v>
      </c>
      <c r="H46">
        <f t="shared" si="5"/>
        <v>0</v>
      </c>
      <c r="I46">
        <f t="shared" si="6"/>
        <v>0</v>
      </c>
    </row>
    <row r="47" spans="1:9" x14ac:dyDescent="0.2">
      <c r="A47">
        <f t="shared" si="7"/>
        <v>20.399999999999974</v>
      </c>
      <c r="B47">
        <f t="shared" si="8"/>
        <v>115.24545454545449</v>
      </c>
      <c r="C47">
        <f t="shared" si="9"/>
        <v>102.85501026310882</v>
      </c>
      <c r="D47">
        <f t="shared" si="2"/>
        <v>102.85501026310882</v>
      </c>
      <c r="F47">
        <f t="shared" si="3"/>
        <v>20.399999999999974</v>
      </c>
      <c r="G47">
        <f t="shared" si="4"/>
        <v>102.85501026310882</v>
      </c>
      <c r="H47">
        <f t="shared" si="5"/>
        <v>0</v>
      </c>
      <c r="I47">
        <f t="shared" si="6"/>
        <v>0</v>
      </c>
    </row>
    <row r="48" spans="1:9" x14ac:dyDescent="0.2">
      <c r="A48">
        <f t="shared" si="7"/>
        <v>20.599999999999973</v>
      </c>
      <c r="B48">
        <f t="shared" si="8"/>
        <v>115.48181818181814</v>
      </c>
      <c r="C48">
        <f t="shared" si="9"/>
        <v>102.51704897706144</v>
      </c>
      <c r="D48">
        <f t="shared" si="2"/>
        <v>102.51704897706144</v>
      </c>
      <c r="F48">
        <f t="shared" si="3"/>
        <v>20.599999999999973</v>
      </c>
      <c r="G48">
        <f t="shared" si="4"/>
        <v>102.51704897706144</v>
      </c>
      <c r="H48">
        <f t="shared" si="5"/>
        <v>0</v>
      </c>
      <c r="I48">
        <f t="shared" si="6"/>
        <v>0</v>
      </c>
    </row>
    <row r="49" spans="1:9" x14ac:dyDescent="0.2">
      <c r="A49">
        <f t="shared" si="7"/>
        <v>20.799999999999972</v>
      </c>
      <c r="B49">
        <f t="shared" si="8"/>
        <v>115.71818181818176</v>
      </c>
      <c r="C49">
        <f t="shared" si="9"/>
        <v>102.18130136563065</v>
      </c>
      <c r="D49">
        <f t="shared" si="2"/>
        <v>102.18130136563065</v>
      </c>
      <c r="F49">
        <f t="shared" si="3"/>
        <v>20.799999999999972</v>
      </c>
      <c r="G49">
        <f t="shared" si="4"/>
        <v>102.18130136563065</v>
      </c>
      <c r="H49">
        <f t="shared" si="5"/>
        <v>0</v>
      </c>
      <c r="I49">
        <f t="shared" si="6"/>
        <v>0</v>
      </c>
    </row>
    <row r="50" spans="1:9" x14ac:dyDescent="0.2">
      <c r="A50">
        <f t="shared" si="7"/>
        <v>20.999999999999972</v>
      </c>
      <c r="B50">
        <f t="shared" si="8"/>
        <v>115.95454545454541</v>
      </c>
      <c r="C50">
        <f t="shared" si="9"/>
        <v>101.84774575018481</v>
      </c>
      <c r="D50">
        <f t="shared" si="2"/>
        <v>101.84774575018481</v>
      </c>
      <c r="F50">
        <f t="shared" si="3"/>
        <v>20.999999999999972</v>
      </c>
      <c r="G50">
        <f t="shared" si="4"/>
        <v>101.84774575018481</v>
      </c>
      <c r="H50">
        <f t="shared" si="5"/>
        <v>0</v>
      </c>
      <c r="I50">
        <f t="shared" si="6"/>
        <v>0</v>
      </c>
    </row>
    <row r="51" spans="1:9" x14ac:dyDescent="0.2">
      <c r="A51">
        <f t="shared" si="7"/>
        <v>21.199999999999971</v>
      </c>
      <c r="B51">
        <f t="shared" si="8"/>
        <v>116.19090909090903</v>
      </c>
      <c r="C51">
        <f t="shared" si="9"/>
        <v>101.51636073423786</v>
      </c>
      <c r="D51">
        <f t="shared" si="2"/>
        <v>101.51636073423786</v>
      </c>
      <c r="F51">
        <f t="shared" si="3"/>
        <v>21.199999999999971</v>
      </c>
      <c r="G51">
        <f t="shared" si="4"/>
        <v>101.51636073423786</v>
      </c>
      <c r="H51">
        <f t="shared" si="5"/>
        <v>0</v>
      </c>
      <c r="I51">
        <f t="shared" si="6"/>
        <v>0</v>
      </c>
    </row>
    <row r="52" spans="1:9" x14ac:dyDescent="0.2">
      <c r="A52">
        <f t="shared" si="7"/>
        <v>21.39999999999997</v>
      </c>
      <c r="B52">
        <f t="shared" si="8"/>
        <v>116.42727272727268</v>
      </c>
      <c r="C52">
        <f t="shared" si="9"/>
        <v>101.18712519887413</v>
      </c>
      <c r="D52">
        <f t="shared" si="2"/>
        <v>101.18712519887413</v>
      </c>
      <c r="F52">
        <f t="shared" si="3"/>
        <v>21.39999999999997</v>
      </c>
      <c r="G52">
        <f t="shared" si="4"/>
        <v>101.18712519887413</v>
      </c>
      <c r="H52">
        <f t="shared" si="5"/>
        <v>0</v>
      </c>
      <c r="I52">
        <f t="shared" si="6"/>
        <v>0</v>
      </c>
    </row>
    <row r="53" spans="1:9" x14ac:dyDescent="0.2">
      <c r="A53">
        <f t="shared" si="7"/>
        <v>21.599999999999969</v>
      </c>
      <c r="B53">
        <f t="shared" si="8"/>
        <v>116.6636363636363</v>
      </c>
      <c r="C53">
        <f t="shared" si="9"/>
        <v>100.86001829826172</v>
      </c>
      <c r="D53">
        <f t="shared" si="2"/>
        <v>100.86001829826172</v>
      </c>
      <c r="F53">
        <f t="shared" si="3"/>
        <v>21.599999999999969</v>
      </c>
      <c r="G53">
        <f t="shared" si="4"/>
        <v>100.86001829826172</v>
      </c>
      <c r="H53">
        <f t="shared" si="5"/>
        <v>0</v>
      </c>
      <c r="I53">
        <f t="shared" si="6"/>
        <v>0</v>
      </c>
    </row>
    <row r="54" spans="1:9" x14ac:dyDescent="0.2">
      <c r="A54">
        <f t="shared" si="7"/>
        <v>21.799999999999969</v>
      </c>
      <c r="B54">
        <f t="shared" si="8"/>
        <v>116.89999999999995</v>
      </c>
      <c r="C54">
        <f t="shared" si="9"/>
        <v>100.53501945525296</v>
      </c>
      <c r="D54">
        <f t="shared" si="2"/>
        <v>100.53501945525296</v>
      </c>
      <c r="F54">
        <f t="shared" si="3"/>
        <v>21.799999999999969</v>
      </c>
      <c r="G54">
        <f t="shared" si="4"/>
        <v>100.53501945525296</v>
      </c>
      <c r="H54">
        <f t="shared" si="5"/>
        <v>0</v>
      </c>
      <c r="I54">
        <f t="shared" si="6"/>
        <v>0</v>
      </c>
    </row>
    <row r="55" spans="1:9" x14ac:dyDescent="0.2">
      <c r="A55">
        <f t="shared" si="7"/>
        <v>21.999999999999968</v>
      </c>
      <c r="B55">
        <f t="shared" si="8"/>
        <v>117.13636363636358</v>
      </c>
      <c r="C55">
        <f t="shared" si="9"/>
        <v>100.21210835706931</v>
      </c>
      <c r="D55">
        <f t="shared" si="2"/>
        <v>100.21210835706931</v>
      </c>
      <c r="F55">
        <f t="shared" si="3"/>
        <v>21.999999999999968</v>
      </c>
      <c r="G55">
        <f t="shared" si="4"/>
        <v>100.21210835706931</v>
      </c>
      <c r="H55">
        <f t="shared" si="5"/>
        <v>0</v>
      </c>
      <c r="I55">
        <f t="shared" si="6"/>
        <v>0</v>
      </c>
    </row>
    <row r="56" spans="1:9" x14ac:dyDescent="0.2">
      <c r="A56">
        <f t="shared" ref="A56:A70" si="10">A55+0.2</f>
        <v>22.199999999999967</v>
      </c>
      <c r="B56">
        <f t="shared" si="8"/>
        <v>117.37272727272722</v>
      </c>
      <c r="C56">
        <f t="shared" si="9"/>
        <v>99.891264951069289</v>
      </c>
      <c r="D56">
        <f t="shared" si="2"/>
        <v>99.891264951069289</v>
      </c>
      <c r="F56">
        <f t="shared" si="3"/>
        <v>22.199999999999967</v>
      </c>
      <c r="G56">
        <f t="shared" si="4"/>
        <v>99.891264951069289</v>
      </c>
      <c r="H56">
        <f t="shared" si="5"/>
        <v>0</v>
      </c>
      <c r="I56">
        <f t="shared" si="6"/>
        <v>0</v>
      </c>
    </row>
    <row r="57" spans="1:9" x14ac:dyDescent="0.2">
      <c r="A57">
        <f t="shared" si="10"/>
        <v>22.399999999999967</v>
      </c>
      <c r="B57">
        <f t="shared" si="8"/>
        <v>117.60909090909085</v>
      </c>
      <c r="C57">
        <f t="shared" si="9"/>
        <v>99.572469440597388</v>
      </c>
      <c r="D57">
        <f t="shared" si="2"/>
        <v>99.572469440597388</v>
      </c>
      <c r="F57">
        <f t="shared" si="3"/>
        <v>22.399999999999967</v>
      </c>
      <c r="G57">
        <f t="shared" si="4"/>
        <v>99.572469440597388</v>
      </c>
      <c r="H57">
        <f t="shared" si="5"/>
        <v>0</v>
      </c>
      <c r="I57">
        <f t="shared" si="6"/>
        <v>0</v>
      </c>
    </row>
    <row r="58" spans="1:9" x14ac:dyDescent="0.2">
      <c r="A58">
        <f t="shared" si="10"/>
        <v>22.599999999999966</v>
      </c>
      <c r="B58">
        <f t="shared" si="8"/>
        <v>117.84545454545449</v>
      </c>
      <c r="C58">
        <f t="shared" si="9"/>
        <v>99.255702280912416</v>
      </c>
      <c r="D58">
        <f t="shared" si="2"/>
        <v>99.255702280912416</v>
      </c>
      <c r="F58">
        <f t="shared" si="3"/>
        <v>22.599999999999966</v>
      </c>
      <c r="G58">
        <f t="shared" si="4"/>
        <v>99.255702280912416</v>
      </c>
      <c r="H58">
        <f t="shared" si="5"/>
        <v>0</v>
      </c>
      <c r="I58">
        <f t="shared" si="6"/>
        <v>0</v>
      </c>
    </row>
    <row r="59" spans="1:9" x14ac:dyDescent="0.2">
      <c r="A59">
        <f t="shared" si="10"/>
        <v>22.799999999999965</v>
      </c>
      <c r="B59">
        <f t="shared" si="8"/>
        <v>118.08181818181812</v>
      </c>
      <c r="C59">
        <f t="shared" si="9"/>
        <v>98.94094417519301</v>
      </c>
      <c r="D59">
        <f t="shared" si="2"/>
        <v>98.94094417519301</v>
      </c>
      <c r="F59">
        <f t="shared" si="3"/>
        <v>22.799999999999965</v>
      </c>
      <c r="G59">
        <f t="shared" si="4"/>
        <v>98.94094417519301</v>
      </c>
      <c r="H59">
        <f t="shared" si="5"/>
        <v>0</v>
      </c>
      <c r="I59">
        <f t="shared" si="6"/>
        <v>0</v>
      </c>
    </row>
    <row r="60" spans="1:9" x14ac:dyDescent="0.2">
      <c r="A60">
        <f t="shared" si="10"/>
        <v>22.999999999999964</v>
      </c>
      <c r="B60">
        <f t="shared" si="8"/>
        <v>118.31818181818176</v>
      </c>
      <c r="C60">
        <f t="shared" si="9"/>
        <v>98.628176070619176</v>
      </c>
      <c r="D60">
        <f t="shared" si="2"/>
        <v>98.628176070619176</v>
      </c>
      <c r="F60">
        <f t="shared" si="3"/>
        <v>22.999999999999964</v>
      </c>
      <c r="G60">
        <f t="shared" si="4"/>
        <v>98.628176070619176</v>
      </c>
      <c r="H60">
        <f t="shared" si="5"/>
        <v>0</v>
      </c>
      <c r="I60">
        <f t="shared" si="6"/>
        <v>0</v>
      </c>
    </row>
    <row r="61" spans="1:9" x14ac:dyDescent="0.2">
      <c r="A61">
        <f t="shared" si="10"/>
        <v>23.199999999999964</v>
      </c>
      <c r="B61">
        <f t="shared" si="8"/>
        <v>118.55454545454539</v>
      </c>
      <c r="C61">
        <f t="shared" si="9"/>
        <v>98.317379154527671</v>
      </c>
      <c r="D61">
        <f t="shared" si="2"/>
        <v>98.317379154527671</v>
      </c>
      <c r="F61">
        <f t="shared" si="3"/>
        <v>23.199999999999964</v>
      </c>
      <c r="G61">
        <f t="shared" si="4"/>
        <v>98.317379154527671</v>
      </c>
      <c r="H61">
        <f t="shared" si="5"/>
        <v>0</v>
      </c>
      <c r="I61">
        <f t="shared" si="6"/>
        <v>0</v>
      </c>
    </row>
    <row r="62" spans="1:9" x14ac:dyDescent="0.2">
      <c r="A62">
        <f t="shared" si="10"/>
        <v>23.399999999999963</v>
      </c>
      <c r="B62">
        <f t="shared" si="8"/>
        <v>118.79090909090903</v>
      </c>
      <c r="C62">
        <f t="shared" si="9"/>
        <v>98.00853485064016</v>
      </c>
      <c r="D62">
        <f t="shared" si="2"/>
        <v>98.00853485064016</v>
      </c>
      <c r="F62">
        <f t="shared" si="3"/>
        <v>23.399999999999963</v>
      </c>
      <c r="G62">
        <f t="shared" si="4"/>
        <v>98.00853485064016</v>
      </c>
      <c r="H62">
        <f t="shared" si="5"/>
        <v>0</v>
      </c>
      <c r="I62">
        <f t="shared" si="6"/>
        <v>0</v>
      </c>
    </row>
    <row r="63" spans="1:9" x14ac:dyDescent="0.2">
      <c r="A63">
        <f t="shared" si="10"/>
        <v>23.599999999999962</v>
      </c>
      <c r="B63">
        <f t="shared" si="8"/>
        <v>119.02727272727266</v>
      </c>
      <c r="C63">
        <f t="shared" si="9"/>
        <v>97.701624815361939</v>
      </c>
      <c r="D63">
        <f t="shared" si="2"/>
        <v>97.701624815361939</v>
      </c>
      <c r="F63">
        <f t="shared" si="3"/>
        <v>23.599999999999962</v>
      </c>
      <c r="G63">
        <f t="shared" si="4"/>
        <v>97.701624815361939</v>
      </c>
      <c r="H63">
        <f t="shared" si="5"/>
        <v>0</v>
      </c>
      <c r="I63">
        <f t="shared" si="6"/>
        <v>0</v>
      </c>
    </row>
    <row r="64" spans="1:9" x14ac:dyDescent="0.2">
      <c r="A64">
        <f t="shared" si="10"/>
        <v>23.799999999999962</v>
      </c>
      <c r="B64">
        <f t="shared" si="8"/>
        <v>119.26363636363629</v>
      </c>
      <c r="C64">
        <f t="shared" si="9"/>
        <v>97.396630934150139</v>
      </c>
      <c r="D64">
        <f t="shared" si="2"/>
        <v>97.396630934150139</v>
      </c>
      <c r="F64">
        <f t="shared" si="3"/>
        <v>23.799999999999962</v>
      </c>
      <c r="G64">
        <f t="shared" si="4"/>
        <v>97.396630934150139</v>
      </c>
      <c r="H64">
        <f t="shared" si="5"/>
        <v>0</v>
      </c>
      <c r="I64">
        <f t="shared" si="6"/>
        <v>0</v>
      </c>
    </row>
    <row r="65" spans="1:9" x14ac:dyDescent="0.2">
      <c r="A65">
        <f t="shared" si="10"/>
        <v>23.999999999999961</v>
      </c>
      <c r="B65">
        <f t="shared" si="8"/>
        <v>119.49999999999993</v>
      </c>
      <c r="C65">
        <f t="shared" si="9"/>
        <v>97.093535317949687</v>
      </c>
      <c r="D65">
        <f t="shared" si="2"/>
        <v>97.093535317949687</v>
      </c>
      <c r="F65">
        <f t="shared" si="3"/>
        <v>23.999999999999961</v>
      </c>
      <c r="G65">
        <f t="shared" si="4"/>
        <v>97.093535317949687</v>
      </c>
      <c r="H65">
        <f t="shared" si="5"/>
        <v>0</v>
      </c>
      <c r="I65">
        <f t="shared" si="6"/>
        <v>0</v>
      </c>
    </row>
    <row r="66" spans="1:9" x14ac:dyDescent="0.2">
      <c r="A66">
        <f t="shared" si="10"/>
        <v>24.19999999999996</v>
      </c>
      <c r="B66">
        <f t="shared" si="8"/>
        <v>119.73636363636356</v>
      </c>
      <c r="C66">
        <f t="shared" si="9"/>
        <v>96.792320299695675</v>
      </c>
      <c r="D66">
        <f t="shared" si="2"/>
        <v>96.792320299695675</v>
      </c>
      <c r="F66">
        <f t="shared" si="3"/>
        <v>24.19999999999996</v>
      </c>
      <c r="G66">
        <f t="shared" si="4"/>
        <v>96.792320299695675</v>
      </c>
      <c r="H66">
        <f t="shared" si="5"/>
        <v>0</v>
      </c>
      <c r="I66">
        <f t="shared" si="6"/>
        <v>0</v>
      </c>
    </row>
    <row r="67" spans="1:9" x14ac:dyDescent="0.2">
      <c r="A67">
        <f t="shared" si="10"/>
        <v>24.399999999999959</v>
      </c>
      <c r="B67">
        <f t="shared" si="8"/>
        <v>119.9727272727272</v>
      </c>
      <c r="C67">
        <f t="shared" si="9"/>
        <v>96.492968430880595</v>
      </c>
      <c r="D67">
        <f t="shared" si="2"/>
        <v>96.492968430880595</v>
      </c>
      <c r="F67">
        <f t="shared" si="3"/>
        <v>24.399999999999959</v>
      </c>
      <c r="G67">
        <f t="shared" si="4"/>
        <v>96.492968430880595</v>
      </c>
      <c r="H67">
        <f t="shared" si="5"/>
        <v>0</v>
      </c>
      <c r="I67">
        <f t="shared" si="6"/>
        <v>0</v>
      </c>
    </row>
    <row r="68" spans="1:9" x14ac:dyDescent="0.2">
      <c r="A68">
        <f t="shared" si="10"/>
        <v>24.599999999999959</v>
      </c>
      <c r="B68">
        <f t="shared" si="8"/>
        <v>120.20909090909083</v>
      </c>
      <c r="C68">
        <f t="shared" si="9"/>
        <v>96.195462478185064</v>
      </c>
      <c r="D68">
        <f t="shared" si="2"/>
        <v>96.195462478185064</v>
      </c>
      <c r="F68">
        <f t="shared" si="3"/>
        <v>24.599999999999959</v>
      </c>
      <c r="G68">
        <f t="shared" si="4"/>
        <v>96.195462478185064</v>
      </c>
      <c r="H68">
        <f t="shared" si="5"/>
        <v>0</v>
      </c>
      <c r="I68">
        <f t="shared" si="6"/>
        <v>0</v>
      </c>
    </row>
    <row r="69" spans="1:9" x14ac:dyDescent="0.2">
      <c r="A69">
        <f t="shared" si="10"/>
        <v>24.799999999999958</v>
      </c>
      <c r="B69">
        <f t="shared" si="8"/>
        <v>120.44545454545447</v>
      </c>
      <c r="C69">
        <f t="shared" si="9"/>
        <v>95.899785420170559</v>
      </c>
      <c r="D69">
        <f t="shared" si="2"/>
        <v>95.899785420170559</v>
      </c>
      <c r="F69">
        <f t="shared" si="3"/>
        <v>24.799999999999958</v>
      </c>
      <c r="G69">
        <f t="shared" si="4"/>
        <v>95.899785420170559</v>
      </c>
      <c r="H69">
        <f t="shared" si="5"/>
        <v>0</v>
      </c>
      <c r="I69">
        <f t="shared" si="6"/>
        <v>0</v>
      </c>
    </row>
    <row r="70" spans="1:9" x14ac:dyDescent="0.2">
      <c r="A70">
        <f t="shared" si="10"/>
        <v>24.999999999999957</v>
      </c>
      <c r="B70">
        <f t="shared" si="8"/>
        <v>120.6818181818181</v>
      </c>
      <c r="C70">
        <f t="shared" si="9"/>
        <v>95.605920444033359</v>
      </c>
      <c r="D70">
        <f t="shared" si="2"/>
        <v>95.605920444033359</v>
      </c>
      <c r="F70">
        <f t="shared" si="3"/>
        <v>24.999999999999957</v>
      </c>
      <c r="G70">
        <f t="shared" si="4"/>
        <v>95.605920444033359</v>
      </c>
      <c r="H70">
        <f t="shared" si="5"/>
        <v>0</v>
      </c>
      <c r="I70">
        <f t="shared" si="6"/>
        <v>0</v>
      </c>
    </row>
    <row r="71" spans="1:9" x14ac:dyDescent="0.2">
      <c r="F71" t="str">
        <f t="shared" ref="F71:F74" ca="1" si="11">IF(ROW()-10&lt;$J$15-5,A71,IF(10+ROW()-$J$15+$K$15&lt;=70,INDIRECT(ADDRESS(10+ROW()-$J$15+$K$15,3)),""))</f>
        <v/>
      </c>
      <c r="G71" t="str">
        <f t="shared" ref="G71:G74" ca="1" si="12">IF(F71&lt;&gt;"",IF(F71&lt;$J$12,F71*$A$8+$B$8, VLOOKUP(F71,$C$11:$D$70,2,FALSE)),"")</f>
        <v/>
      </c>
    </row>
    <row r="72" spans="1:9" x14ac:dyDescent="0.2">
      <c r="F72" t="str">
        <f t="shared" ca="1" si="11"/>
        <v/>
      </c>
      <c r="G72" t="str">
        <f t="shared" ca="1" si="12"/>
        <v/>
      </c>
    </row>
    <row r="73" spans="1:9" x14ac:dyDescent="0.2">
      <c r="F73" t="str">
        <f t="shared" ca="1" si="11"/>
        <v/>
      </c>
      <c r="G73" t="str">
        <f t="shared" ca="1" si="12"/>
        <v/>
      </c>
    </row>
    <row r="74" spans="1:9" x14ac:dyDescent="0.2">
      <c r="F74" t="str">
        <f t="shared" ca="1" si="11"/>
        <v/>
      </c>
      <c r="G74" t="str">
        <f t="shared" ca="1" si="12"/>
        <v/>
      </c>
    </row>
    <row r="75" spans="1:9" x14ac:dyDescent="0.2">
      <c r="F75" t="str">
        <f t="shared" ref="F75:F110" ca="1" si="13">IF(ROW()-10&lt;$J$15-5,A75,IF(10+ROW()-$J$15+$K$15&lt;=70,INDIRECT(ADDRESS(10+ROW()-$J$15+$K$15,3)),""))</f>
        <v/>
      </c>
      <c r="G75" t="str">
        <f t="shared" ref="G75:G106" ca="1" si="14">IF(F75&lt;&gt;"",IF(F75&lt;$J$12,F75*$A$8+$B$8, VLOOKUP(F75,$C$11:$D$70,2,FALSE)),"")</f>
        <v/>
      </c>
    </row>
    <row r="76" spans="1:9" x14ac:dyDescent="0.2">
      <c r="F76" t="str">
        <f t="shared" ca="1" si="13"/>
        <v/>
      </c>
      <c r="G76" t="str">
        <f t="shared" ca="1" si="14"/>
        <v/>
      </c>
    </row>
    <row r="77" spans="1:9" x14ac:dyDescent="0.2">
      <c r="F77" t="str">
        <f t="shared" ca="1" si="13"/>
        <v/>
      </c>
      <c r="G77" t="str">
        <f t="shared" ca="1" si="14"/>
        <v/>
      </c>
    </row>
    <row r="78" spans="1:9" x14ac:dyDescent="0.2">
      <c r="F78" t="str">
        <f t="shared" ca="1" si="13"/>
        <v/>
      </c>
      <c r="G78" t="str">
        <f t="shared" ca="1" si="14"/>
        <v/>
      </c>
    </row>
    <row r="79" spans="1:9" x14ac:dyDescent="0.2">
      <c r="F79" t="str">
        <f t="shared" ca="1" si="13"/>
        <v/>
      </c>
      <c r="G79" t="str">
        <f t="shared" ca="1" si="14"/>
        <v/>
      </c>
    </row>
    <row r="80" spans="1:9" x14ac:dyDescent="0.2">
      <c r="F80" t="str">
        <f t="shared" ca="1" si="13"/>
        <v/>
      </c>
      <c r="G80" t="str">
        <f t="shared" ca="1" si="14"/>
        <v/>
      </c>
    </row>
    <row r="81" spans="6:7" x14ac:dyDescent="0.2">
      <c r="F81" t="str">
        <f t="shared" ca="1" si="13"/>
        <v/>
      </c>
      <c r="G81" t="str">
        <f t="shared" ca="1" si="14"/>
        <v/>
      </c>
    </row>
    <row r="82" spans="6:7" x14ac:dyDescent="0.2">
      <c r="F82" t="str">
        <f t="shared" ca="1" si="13"/>
        <v/>
      </c>
      <c r="G82" t="str">
        <f t="shared" ca="1" si="14"/>
        <v/>
      </c>
    </row>
    <row r="83" spans="6:7" x14ac:dyDescent="0.2">
      <c r="F83" t="str">
        <f t="shared" ca="1" si="13"/>
        <v/>
      </c>
      <c r="G83" t="str">
        <f t="shared" ca="1" si="14"/>
        <v/>
      </c>
    </row>
    <row r="84" spans="6:7" x14ac:dyDescent="0.2">
      <c r="F84" t="str">
        <f t="shared" ca="1" si="13"/>
        <v/>
      </c>
      <c r="G84" t="str">
        <f t="shared" ca="1" si="14"/>
        <v/>
      </c>
    </row>
    <row r="85" spans="6:7" x14ac:dyDescent="0.2">
      <c r="F85" t="str">
        <f t="shared" ca="1" si="13"/>
        <v/>
      </c>
      <c r="G85" t="str">
        <f t="shared" ca="1" si="14"/>
        <v/>
      </c>
    </row>
    <row r="86" spans="6:7" x14ac:dyDescent="0.2">
      <c r="F86" t="str">
        <f t="shared" ca="1" si="13"/>
        <v/>
      </c>
      <c r="G86" t="str">
        <f t="shared" ca="1" si="14"/>
        <v/>
      </c>
    </row>
    <row r="87" spans="6:7" x14ac:dyDescent="0.2">
      <c r="F87" t="str">
        <f t="shared" ca="1" si="13"/>
        <v/>
      </c>
      <c r="G87" t="str">
        <f t="shared" ca="1" si="14"/>
        <v/>
      </c>
    </row>
    <row r="88" spans="6:7" x14ac:dyDescent="0.2">
      <c r="F88" t="str">
        <f t="shared" ca="1" si="13"/>
        <v/>
      </c>
      <c r="G88" t="str">
        <f t="shared" ca="1" si="14"/>
        <v/>
      </c>
    </row>
    <row r="89" spans="6:7" x14ac:dyDescent="0.2">
      <c r="F89" t="str">
        <f t="shared" ca="1" si="13"/>
        <v/>
      </c>
      <c r="G89" t="str">
        <f t="shared" ca="1" si="14"/>
        <v/>
      </c>
    </row>
    <row r="90" spans="6:7" x14ac:dyDescent="0.2">
      <c r="F90" t="str">
        <f t="shared" ca="1" si="13"/>
        <v/>
      </c>
      <c r="G90" t="str">
        <f t="shared" ca="1" si="14"/>
        <v/>
      </c>
    </row>
    <row r="91" spans="6:7" x14ac:dyDescent="0.2">
      <c r="F91" t="str">
        <f t="shared" ca="1" si="13"/>
        <v/>
      </c>
      <c r="G91" t="str">
        <f t="shared" ca="1" si="14"/>
        <v/>
      </c>
    </row>
    <row r="92" spans="6:7" x14ac:dyDescent="0.2">
      <c r="F92" t="str">
        <f t="shared" ca="1" si="13"/>
        <v/>
      </c>
      <c r="G92" t="str">
        <f t="shared" ca="1" si="14"/>
        <v/>
      </c>
    </row>
    <row r="93" spans="6:7" x14ac:dyDescent="0.2">
      <c r="F93" t="str">
        <f t="shared" ca="1" si="13"/>
        <v/>
      </c>
      <c r="G93" t="str">
        <f t="shared" ca="1" si="14"/>
        <v/>
      </c>
    </row>
    <row r="94" spans="6:7" x14ac:dyDescent="0.2">
      <c r="F94" t="str">
        <f t="shared" ca="1" si="13"/>
        <v/>
      </c>
      <c r="G94" t="str">
        <f t="shared" ca="1" si="14"/>
        <v/>
      </c>
    </row>
    <row r="95" spans="6:7" x14ac:dyDescent="0.2">
      <c r="F95" t="str">
        <f t="shared" ca="1" si="13"/>
        <v/>
      </c>
      <c r="G95" t="str">
        <f t="shared" ca="1" si="14"/>
        <v/>
      </c>
    </row>
    <row r="96" spans="6:7" x14ac:dyDescent="0.2">
      <c r="F96" t="str">
        <f t="shared" ca="1" si="13"/>
        <v/>
      </c>
      <c r="G96" t="str">
        <f t="shared" ca="1" si="14"/>
        <v/>
      </c>
    </row>
    <row r="97" spans="6:7" x14ac:dyDescent="0.2">
      <c r="F97" t="str">
        <f t="shared" ca="1" si="13"/>
        <v/>
      </c>
      <c r="G97" t="str">
        <f t="shared" ca="1" si="14"/>
        <v/>
      </c>
    </row>
    <row r="98" spans="6:7" x14ac:dyDescent="0.2">
      <c r="F98" t="str">
        <f t="shared" ca="1" si="13"/>
        <v/>
      </c>
      <c r="G98" t="str">
        <f t="shared" ca="1" si="14"/>
        <v/>
      </c>
    </row>
    <row r="99" spans="6:7" x14ac:dyDescent="0.2">
      <c r="F99" t="str">
        <f t="shared" ca="1" si="13"/>
        <v/>
      </c>
      <c r="G99" t="str">
        <f t="shared" ca="1" si="14"/>
        <v/>
      </c>
    </row>
    <row r="100" spans="6:7" x14ac:dyDescent="0.2">
      <c r="F100" t="str">
        <f t="shared" ca="1" si="13"/>
        <v/>
      </c>
      <c r="G100" t="str">
        <f t="shared" ca="1" si="14"/>
        <v/>
      </c>
    </row>
    <row r="101" spans="6:7" x14ac:dyDescent="0.2">
      <c r="F101" t="str">
        <f t="shared" ca="1" si="13"/>
        <v/>
      </c>
      <c r="G101" t="str">
        <f t="shared" ca="1" si="14"/>
        <v/>
      </c>
    </row>
    <row r="102" spans="6:7" x14ac:dyDescent="0.2">
      <c r="F102" t="str">
        <f t="shared" ca="1" si="13"/>
        <v/>
      </c>
      <c r="G102" t="str">
        <f t="shared" ca="1" si="14"/>
        <v/>
      </c>
    </row>
    <row r="103" spans="6:7" x14ac:dyDescent="0.2">
      <c r="F103" t="str">
        <f t="shared" ca="1" si="13"/>
        <v/>
      </c>
      <c r="G103" t="str">
        <f t="shared" ca="1" si="14"/>
        <v/>
      </c>
    </row>
    <row r="104" spans="6:7" x14ac:dyDescent="0.2">
      <c r="F104" t="str">
        <f t="shared" ca="1" si="13"/>
        <v/>
      </c>
      <c r="G104" t="str">
        <f t="shared" ca="1" si="14"/>
        <v/>
      </c>
    </row>
    <row r="105" spans="6:7" x14ac:dyDescent="0.2">
      <c r="F105" t="str">
        <f t="shared" ca="1" si="13"/>
        <v/>
      </c>
      <c r="G105" t="str">
        <f t="shared" ca="1" si="14"/>
        <v/>
      </c>
    </row>
    <row r="106" spans="6:7" x14ac:dyDescent="0.2">
      <c r="F106" t="str">
        <f t="shared" ca="1" si="13"/>
        <v/>
      </c>
      <c r="G106" t="str">
        <f t="shared" ca="1" si="14"/>
        <v/>
      </c>
    </row>
    <row r="107" spans="6:7" x14ac:dyDescent="0.2">
      <c r="F107" t="str">
        <f t="shared" ca="1" si="13"/>
        <v/>
      </c>
      <c r="G107" t="str">
        <f ca="1">IF(F107&lt;&gt;"",IF(F107&lt;$J$12,F107*$A$8+$B$8, VLOOKUP(F107,$C$11:$D$70,2,FALSE)),"")</f>
        <v/>
      </c>
    </row>
    <row r="108" spans="6:7" x14ac:dyDescent="0.2">
      <c r="F108" t="str">
        <f t="shared" ca="1" si="13"/>
        <v/>
      </c>
      <c r="G108" t="str">
        <f ca="1">IF(F108&lt;&gt;"",IF(F108&lt;$J$12,F108*$A$8+$B$8, VLOOKUP(F108,$C$11:$D$70,2,FALSE)),"")</f>
        <v/>
      </c>
    </row>
    <row r="109" spans="6:7" x14ac:dyDescent="0.2">
      <c r="F109" t="str">
        <f t="shared" ca="1" si="13"/>
        <v/>
      </c>
      <c r="G109" t="str">
        <f ca="1">IF(F109&lt;&gt;"",IF(F109&lt;$J$12,F109*$A$8+$B$8, VLOOKUP(F109,$C$11:$D$70,2,FALSE)),"")</f>
        <v/>
      </c>
    </row>
    <row r="110" spans="6:7" x14ac:dyDescent="0.2">
      <c r="F110" t="str">
        <f t="shared" ca="1" si="13"/>
        <v/>
      </c>
      <c r="G110" t="str">
        <f ca="1">IF(F110&lt;&gt;"",IF(F110&lt;$J$12,F110*$A$8+$B$8, VLOOKUP(F110,$C$11:$D$70,2,FALSE)),"")</f>
        <v/>
      </c>
    </row>
  </sheetData>
  <sheetProtection sheet="1" selectLockedCells="1" selectUnlockedCells="1"/>
  <mergeCells count="3">
    <mergeCell ref="A6:B6"/>
    <mergeCell ref="J9:K9"/>
    <mergeCell ref="C6:E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G58"/>
  <sheetViews>
    <sheetView topLeftCell="A19" workbookViewId="0">
      <selection activeCell="T34" sqref="T34:V34"/>
    </sheetView>
  </sheetViews>
  <sheetFormatPr defaultRowHeight="12.75" x14ac:dyDescent="0.2"/>
  <cols>
    <col min="1" max="37" width="4.7109375" customWidth="1"/>
  </cols>
  <sheetData>
    <row r="1" spans="1:33" x14ac:dyDescent="0.2">
      <c r="B1" s="262"/>
      <c r="C1" s="262"/>
      <c r="D1" s="262"/>
      <c r="E1" s="449" t="s">
        <v>540</v>
      </c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212" t="str">
        <f>IF(F11="A &amp; B", "DOTD 03-22-4194", IF(F11="C &amp; D", "DOTD 03-22-4195", IF(F11="E &amp; F", "DOTD 03-22-4196", IF(F11="G", "DOTD 03-22-4197", "DOTD 03-22-4198"))))</f>
        <v>DOTD 03-22-4194</v>
      </c>
      <c r="AD1" s="262"/>
      <c r="AE1" s="262"/>
      <c r="AF1" s="262"/>
      <c r="AG1" s="262"/>
    </row>
    <row r="2" spans="1:33" x14ac:dyDescent="0.2">
      <c r="AC2" s="212" t="s">
        <v>553</v>
      </c>
    </row>
    <row r="3" spans="1:33" x14ac:dyDescent="0.2">
      <c r="E3" s="449" t="s">
        <v>541</v>
      </c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  <c r="Z3" s="449"/>
      <c r="AA3" s="449"/>
      <c r="AB3" s="449"/>
      <c r="AC3" s="263" t="s">
        <v>554</v>
      </c>
    </row>
    <row r="4" spans="1:33" x14ac:dyDescent="0.2">
      <c r="E4" s="533" t="s">
        <v>555</v>
      </c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533"/>
      <c r="R4" s="533"/>
      <c r="S4" s="534" t="str">
        <f>F11</f>
        <v>A &amp; B</v>
      </c>
      <c r="T4" s="534"/>
      <c r="U4" s="534"/>
      <c r="W4" s="262"/>
      <c r="AA4" s="262"/>
      <c r="AB4" s="262"/>
    </row>
    <row r="5" spans="1:33" x14ac:dyDescent="0.2">
      <c r="E5" s="449" t="s">
        <v>542</v>
      </c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449"/>
      <c r="Q5" s="449"/>
      <c r="R5" s="449"/>
      <c r="S5" s="449"/>
      <c r="T5" s="449"/>
      <c r="U5" s="449"/>
      <c r="V5" s="449"/>
      <c r="W5" s="449"/>
      <c r="X5" s="449"/>
      <c r="Y5" s="449"/>
      <c r="Z5" s="449"/>
      <c r="AA5" s="449"/>
      <c r="AB5" s="449"/>
    </row>
    <row r="7" spans="1:33" x14ac:dyDescent="0.2">
      <c r="A7" s="534" t="s">
        <v>562</v>
      </c>
      <c r="B7" s="534"/>
      <c r="C7" s="534"/>
      <c r="D7" s="534"/>
      <c r="E7" s="522"/>
      <c r="F7" s="522"/>
      <c r="G7" s="522"/>
      <c r="H7" s="522"/>
      <c r="I7" s="522"/>
      <c r="J7" s="522"/>
      <c r="K7" s="522"/>
      <c r="M7" s="212" t="s">
        <v>273</v>
      </c>
      <c r="O7" s="522"/>
      <c r="P7" s="522"/>
      <c r="Q7" s="522"/>
      <c r="R7" s="522"/>
      <c r="S7" s="522"/>
      <c r="X7" s="212" t="s">
        <v>556</v>
      </c>
      <c r="AA7" s="522"/>
      <c r="AB7" s="522"/>
      <c r="AC7" s="522"/>
      <c r="AD7" s="522"/>
      <c r="AE7" s="522"/>
      <c r="AF7" s="522"/>
    </row>
    <row r="8" spans="1:33" x14ac:dyDescent="0.2">
      <c r="A8" s="534" t="s">
        <v>560</v>
      </c>
      <c r="B8" s="534"/>
      <c r="C8" s="534"/>
      <c r="D8" s="534"/>
      <c r="E8" s="522"/>
      <c r="F8" s="522"/>
      <c r="G8" s="522"/>
      <c r="H8" s="522"/>
      <c r="I8" s="522"/>
      <c r="J8" s="522"/>
      <c r="K8" s="522"/>
      <c r="M8" s="212" t="s">
        <v>558</v>
      </c>
      <c r="P8" s="522"/>
      <c r="Q8" s="522"/>
      <c r="R8" s="522"/>
      <c r="S8" s="522"/>
      <c r="T8" s="522"/>
      <c r="U8" s="522"/>
      <c r="V8" s="522"/>
      <c r="X8" s="212" t="s">
        <v>557</v>
      </c>
      <c r="AA8" s="522"/>
      <c r="AB8" s="522"/>
      <c r="AC8" s="522"/>
      <c r="AD8" s="522"/>
      <c r="AE8" s="522"/>
      <c r="AF8" s="522"/>
    </row>
    <row r="9" spans="1:33" x14ac:dyDescent="0.2">
      <c r="A9" s="534" t="s">
        <v>561</v>
      </c>
      <c r="B9" s="534"/>
      <c r="C9" s="534"/>
      <c r="D9" s="534"/>
      <c r="E9" s="522"/>
      <c r="F9" s="522"/>
      <c r="G9" s="522"/>
      <c r="H9" s="522"/>
      <c r="I9" s="522"/>
      <c r="J9" s="522"/>
      <c r="K9" s="522"/>
      <c r="M9" s="212" t="s">
        <v>559</v>
      </c>
      <c r="P9" s="522"/>
      <c r="Q9" s="522"/>
      <c r="R9" s="522"/>
      <c r="S9" s="522"/>
      <c r="T9" s="522"/>
      <c r="U9" s="522"/>
      <c r="V9" s="522"/>
    </row>
    <row r="11" spans="1:33" x14ac:dyDescent="0.2">
      <c r="A11" s="270" t="s">
        <v>543</v>
      </c>
      <c r="F11" s="531" t="s">
        <v>552</v>
      </c>
      <c r="G11" s="531"/>
    </row>
    <row r="12" spans="1:33" ht="13.5" thickBot="1" x14ac:dyDescent="0.25"/>
    <row r="13" spans="1:33" ht="13.5" thickTop="1" x14ac:dyDescent="0.2">
      <c r="B13" s="526"/>
      <c r="C13" s="527"/>
      <c r="D13" s="527"/>
      <c r="E13" s="527"/>
      <c r="F13" s="527"/>
      <c r="G13" s="527"/>
      <c r="H13" s="527"/>
      <c r="I13" s="527"/>
      <c r="J13" s="527"/>
      <c r="K13" s="528" t="str">
        <f>IF(OR(F11="C &amp; D"), "SAND","")</f>
        <v/>
      </c>
      <c r="L13" s="529"/>
      <c r="M13" s="529"/>
      <c r="N13" s="529"/>
      <c r="O13" s="529"/>
      <c r="P13" s="546"/>
      <c r="Q13" s="529" t="str">
        <f>IF(OR(F11="C &amp; D"), "SHELL","")</f>
        <v/>
      </c>
      <c r="R13" s="529"/>
      <c r="S13" s="529"/>
      <c r="T13" s="529"/>
      <c r="U13" s="529"/>
      <c r="V13" s="529"/>
      <c r="W13" s="528" t="str">
        <f>IF(OR(F11="C &amp; D"), "TOTAL","")</f>
        <v/>
      </c>
      <c r="X13" s="529"/>
      <c r="Y13" s="529"/>
      <c r="Z13" s="529"/>
      <c r="AA13" s="530"/>
      <c r="AB13" s="262"/>
    </row>
    <row r="14" spans="1:33" x14ac:dyDescent="0.2">
      <c r="B14" s="514" t="str">
        <f>IF(OR(F11="C &amp; D"), "PERCENT BY VOLUME","")</f>
        <v/>
      </c>
      <c r="C14" s="515"/>
      <c r="D14" s="515"/>
      <c r="E14" s="515"/>
      <c r="F14" s="515"/>
      <c r="G14" s="515"/>
      <c r="H14" s="515"/>
      <c r="I14" s="515"/>
      <c r="J14" s="515"/>
      <c r="K14" s="544" t="str">
        <f>IF(OR(F11="C &amp; D"), "V1 =","")</f>
        <v/>
      </c>
      <c r="L14" s="532"/>
      <c r="M14" s="507"/>
      <c r="N14" s="507"/>
      <c r="O14" s="481"/>
      <c r="P14" s="482"/>
      <c r="Q14" s="532" t="str">
        <f>IF(OR(F11="C &amp; D"), "V2 =","")</f>
        <v/>
      </c>
      <c r="R14" s="532"/>
      <c r="S14" s="507"/>
      <c r="T14" s="507"/>
      <c r="U14" s="481"/>
      <c r="V14" s="481"/>
      <c r="W14" s="544" t="str">
        <f>IF(OR(F11="C &amp; D"), "V1 + V2 =","")</f>
        <v/>
      </c>
      <c r="X14" s="532"/>
      <c r="Y14" s="532"/>
      <c r="Z14" s="535" t="str">
        <f>IF(OR(F11="C &amp; D"), (M14+S14),"")</f>
        <v/>
      </c>
      <c r="AA14" s="536"/>
    </row>
    <row r="15" spans="1:33" x14ac:dyDescent="0.2">
      <c r="B15" s="514" t="str">
        <f>IF(OR(F11="C &amp; D"), "UNIT WEIGHT, lb/ft^3", "")</f>
        <v/>
      </c>
      <c r="C15" s="515"/>
      <c r="D15" s="515"/>
      <c r="E15" s="515"/>
      <c r="F15" s="515"/>
      <c r="G15" s="515"/>
      <c r="H15" s="515"/>
      <c r="I15" s="515"/>
      <c r="J15" s="515"/>
      <c r="K15" s="544" t="str">
        <f>IF(OR(F11="C &amp; D"), "S1 =","")</f>
        <v/>
      </c>
      <c r="L15" s="532"/>
      <c r="M15" s="507"/>
      <c r="N15" s="507"/>
      <c r="O15" s="481"/>
      <c r="P15" s="482"/>
      <c r="Q15" s="532" t="str">
        <f>IF(OR(F11="C &amp; D"), "S2 =","")</f>
        <v/>
      </c>
      <c r="R15" s="532"/>
      <c r="S15" s="507"/>
      <c r="T15" s="507"/>
      <c r="U15" s="481"/>
      <c r="V15" s="481"/>
      <c r="W15" s="539"/>
      <c r="X15" s="540"/>
      <c r="Y15" s="540"/>
      <c r="Z15" s="540"/>
      <c r="AA15" s="541"/>
    </row>
    <row r="16" spans="1:33" ht="14.25" customHeight="1" x14ac:dyDescent="0.2">
      <c r="B16" s="514" t="str">
        <f>IF(OR(F11="C &amp; D"), "THEORETICAL UNIT WEIGHT OF MIX, lb/ft^3", "")</f>
        <v/>
      </c>
      <c r="C16" s="515"/>
      <c r="D16" s="515"/>
      <c r="E16" s="515"/>
      <c r="F16" s="515"/>
      <c r="G16" s="515"/>
      <c r="H16" s="515"/>
      <c r="I16" s="515"/>
      <c r="J16" s="515"/>
      <c r="K16" s="544" t="str">
        <f>IF(OR(F11="C &amp; D"), "S1V1 = ","")</f>
        <v/>
      </c>
      <c r="L16" s="532"/>
      <c r="M16" s="507"/>
      <c r="N16" s="507"/>
      <c r="O16" s="481"/>
      <c r="P16" s="482"/>
      <c r="Q16" s="532" t="str">
        <f>IF(OR(F11="C &amp; D"), "S2V2 =","")</f>
        <v/>
      </c>
      <c r="R16" s="532"/>
      <c r="S16" s="507"/>
      <c r="T16" s="507"/>
      <c r="U16" s="481"/>
      <c r="V16" s="481"/>
      <c r="W16" s="544" t="str">
        <f>IF(OR(F11="C &amp; D"), "S1V1 + S2V2 =","")</f>
        <v/>
      </c>
      <c r="X16" s="532"/>
      <c r="Y16" s="532"/>
      <c r="Z16" s="535" t="str">
        <f>IF(OR(F11="C &amp; D"), (M16+S16),"")</f>
        <v/>
      </c>
      <c r="AA16" s="536"/>
    </row>
    <row r="17" spans="2:32" x14ac:dyDescent="0.2">
      <c r="B17" s="514" t="str">
        <f>IF(OR(F11="C &amp; D"), "PERCENT BY WEIGHT SAND-SHELL","")</f>
        <v/>
      </c>
      <c r="C17" s="515"/>
      <c r="D17" s="515"/>
      <c r="E17" s="515"/>
      <c r="F17" s="515"/>
      <c r="G17" s="515"/>
      <c r="H17" s="515"/>
      <c r="I17" s="515"/>
      <c r="J17" s="515"/>
      <c r="K17" s="544" t="str">
        <f>IF(OR(F11="C &amp; D"), "W1 = ","")</f>
        <v/>
      </c>
      <c r="L17" s="532"/>
      <c r="M17" s="507"/>
      <c r="N17" s="507"/>
      <c r="O17" s="481"/>
      <c r="P17" s="482"/>
      <c r="Q17" s="532" t="str">
        <f>IF(OR(F11="C &amp; D"), "W2 =","")</f>
        <v/>
      </c>
      <c r="R17" s="532"/>
      <c r="S17" s="507"/>
      <c r="T17" s="507"/>
      <c r="U17" s="481"/>
      <c r="V17" s="481"/>
      <c r="W17" s="544" t="str">
        <f>IF(OR(F11="C &amp; D"), "W1 + W2 =","")</f>
        <v/>
      </c>
      <c r="X17" s="532"/>
      <c r="Y17" s="532"/>
      <c r="Z17" s="535" t="str">
        <f>IF(OR(F11="C &amp; D"), (M17+S17),"")</f>
        <v/>
      </c>
      <c r="AA17" s="536"/>
    </row>
    <row r="18" spans="2:32" ht="13.5" thickBot="1" x14ac:dyDescent="0.25">
      <c r="B18" s="547" t="str">
        <f>IF(OR(F11="C &amp; D"), "MIX WEIGHT OF SAND-SHELL, lb", "")</f>
        <v/>
      </c>
      <c r="C18" s="548"/>
      <c r="D18" s="548"/>
      <c r="E18" s="548"/>
      <c r="F18" s="548"/>
      <c r="G18" s="548"/>
      <c r="H18" s="548"/>
      <c r="I18" s="548"/>
      <c r="J18" s="548"/>
      <c r="K18" s="542" t="str">
        <f>IF(OR(F11="C &amp; D"), "(W1 x 15) / 100  =","")</f>
        <v/>
      </c>
      <c r="L18" s="543"/>
      <c r="M18" s="543"/>
      <c r="N18" s="543"/>
      <c r="O18" s="545" t="str">
        <f>IF(OR(F11="C &amp; D",F11="G"),IF(ISNUMBER(M17),(M17*15)/100,""),"")</f>
        <v/>
      </c>
      <c r="P18" s="551"/>
      <c r="Q18" s="543" t="str">
        <f>IF(OR(F11="C &amp; D"), "(W2 x 15) / 100  =","")</f>
        <v/>
      </c>
      <c r="R18" s="543"/>
      <c r="S18" s="543"/>
      <c r="T18" s="543"/>
      <c r="U18" s="545" t="str">
        <f>IF(OR(F11="C &amp; D"), IF(ISNUMBER(S17),(S17*15)/100,""),"")</f>
        <v/>
      </c>
      <c r="V18" s="545"/>
      <c r="W18" s="542" t="str">
        <f>IF(OR(F11="C &amp; D"), "D =","")</f>
        <v/>
      </c>
      <c r="X18" s="543"/>
      <c r="Y18" s="543"/>
      <c r="Z18" s="537" t="str">
        <f>IF(OR(F11="C &amp; D"), 15,"")</f>
        <v/>
      </c>
      <c r="AA18" s="538"/>
      <c r="AB18" s="230"/>
    </row>
    <row r="19" spans="2:32" ht="13.5" thickTop="1" x14ac:dyDescent="0.2">
      <c r="B19" s="212" t="s">
        <v>545</v>
      </c>
    </row>
    <row r="20" spans="2:32" ht="13.5" thickBot="1" x14ac:dyDescent="0.25"/>
    <row r="21" spans="2:32" ht="38.25" customHeight="1" thickTop="1" x14ac:dyDescent="0.2">
      <c r="B21" s="552" t="str">
        <f>IF(OR(F11="E &amp; F", F11="G"),"SIEVE","")</f>
        <v/>
      </c>
      <c r="C21" s="553"/>
      <c r="D21" s="237" t="str">
        <f>IF(OR(F11="E &amp; F", F11="G"),"*","")</f>
        <v/>
      </c>
      <c r="E21" s="554"/>
      <c r="F21" s="555"/>
      <c r="G21" s="555"/>
      <c r="H21" s="556"/>
      <c r="I21" s="588" t="s">
        <v>547</v>
      </c>
      <c r="J21" s="588"/>
      <c r="K21" s="588"/>
      <c r="L21" s="589"/>
      <c r="M21" s="592" t="s">
        <v>548</v>
      </c>
      <c r="N21" s="592"/>
      <c r="O21" s="592"/>
      <c r="P21" s="592"/>
      <c r="Q21" s="594" t="s">
        <v>549</v>
      </c>
      <c r="R21" s="592"/>
      <c r="S21" s="592"/>
      <c r="T21" s="593"/>
      <c r="U21" s="596" t="s">
        <v>550</v>
      </c>
      <c r="V21" s="592"/>
      <c r="W21" s="592"/>
      <c r="X21" s="592"/>
      <c r="Y21" s="594" t="str">
        <f>IF(F11="G","Adjusted" &amp; CHAR(10) &amp; "Wt, lb" &amp; CHAR(10) &amp; "(G x 18) / 100", IF(F11="E &amp; F", "Adjusted" &amp; CHAR(10) &amp; "Wt, lb" &amp; CHAR(10) &amp; "(G x 15) / 100", ""))</f>
        <v/>
      </c>
      <c r="Z21" s="592"/>
      <c r="AA21" s="592"/>
      <c r="AB21" s="595"/>
      <c r="AC21" s="592" t="s">
        <v>551</v>
      </c>
      <c r="AD21" s="592"/>
      <c r="AE21" s="592"/>
      <c r="AF21" s="593"/>
    </row>
    <row r="22" spans="2:32" x14ac:dyDescent="0.2">
      <c r="B22" s="560" t="str">
        <f>IF(OR(F11="E &amp; F", F11="G"),"1""", "")</f>
        <v/>
      </c>
      <c r="C22" s="561"/>
      <c r="D22" s="238" t="str">
        <f>IF(OR(F11="E &amp; F", F11="G"),"A","")</f>
        <v/>
      </c>
      <c r="E22" s="573"/>
      <c r="F22" s="574"/>
      <c r="G22" s="574"/>
      <c r="H22" s="575"/>
      <c r="I22" s="232"/>
      <c r="J22" s="525"/>
      <c r="K22" s="525"/>
      <c r="L22" s="233"/>
      <c r="M22" s="235"/>
      <c r="N22" s="574"/>
      <c r="O22" s="574"/>
      <c r="P22" s="574"/>
      <c r="Q22" s="574"/>
      <c r="R22" s="574"/>
      <c r="S22" s="574"/>
      <c r="T22" s="235"/>
      <c r="U22" s="249"/>
      <c r="V22" s="574"/>
      <c r="W22" s="574"/>
      <c r="X22" s="235"/>
      <c r="Y22" s="253"/>
      <c r="Z22" s="574"/>
      <c r="AA22" s="574"/>
      <c r="AB22" s="254"/>
      <c r="AC22" s="235"/>
      <c r="AD22" s="574"/>
      <c r="AE22" s="574"/>
      <c r="AF22" s="236"/>
    </row>
    <row r="23" spans="2:32" x14ac:dyDescent="0.2">
      <c r="B23" s="558" t="str">
        <f>IF(OR(F11="E &amp; F", F11="G"),"3/4""", "")</f>
        <v/>
      </c>
      <c r="C23" s="559"/>
      <c r="D23" s="238" t="str">
        <f>IF(OR(F11="E &amp; F", F11="G"),"B1","")</f>
        <v/>
      </c>
      <c r="E23" s="573"/>
      <c r="F23" s="574"/>
      <c r="G23" s="574"/>
      <c r="H23" s="575"/>
      <c r="I23" s="232"/>
      <c r="J23" s="525"/>
      <c r="K23" s="525"/>
      <c r="L23" s="233"/>
      <c r="M23" s="232"/>
      <c r="N23" s="583" t="str">
        <f>IF(OR($F$11="E &amp; F", $F$11="G"),ROUND(J23/(1-($J$22/$J$27)),2),"")</f>
        <v/>
      </c>
      <c r="O23" s="583"/>
      <c r="P23" s="591" t="s">
        <v>565</v>
      </c>
      <c r="Q23" s="481"/>
      <c r="R23" s="583" t="str">
        <f>N23</f>
        <v/>
      </c>
      <c r="S23" s="580"/>
      <c r="T23" s="232"/>
      <c r="U23" s="250"/>
      <c r="V23" s="580" t="str">
        <f>IF(OR(F11="E &amp; F", F11="G"),ROUND(R23/R29*100,2), "")</f>
        <v/>
      </c>
      <c r="W23" s="580"/>
      <c r="X23" s="232"/>
      <c r="Y23" s="255"/>
      <c r="Z23" s="580" t="str">
        <f>IF(OR(F11="E &amp; F", F11="G"),ROUND(V23*AD28/100,2), "")</f>
        <v/>
      </c>
      <c r="AA23" s="580"/>
      <c r="AB23" s="256"/>
      <c r="AC23" s="232"/>
      <c r="AD23" s="580" t="str">
        <f>IF(OR(F11="E &amp; F", F11="G"),ROUND(Z23,2), "")</f>
        <v/>
      </c>
      <c r="AE23" s="580"/>
      <c r="AF23" s="233"/>
    </row>
    <row r="24" spans="2:32" x14ac:dyDescent="0.2">
      <c r="B24" s="558" t="str">
        <f>IF(OR(F11="E &amp; F", F11="G"),"1/2""", "")</f>
        <v/>
      </c>
      <c r="C24" s="559"/>
      <c r="D24" s="238" t="str">
        <f>IF(OR(F11="E &amp; F", F11="G"),"B2","")</f>
        <v/>
      </c>
      <c r="E24" s="573"/>
      <c r="F24" s="574"/>
      <c r="G24" s="574"/>
      <c r="H24" s="575"/>
      <c r="I24" s="232"/>
      <c r="J24" s="525"/>
      <c r="K24" s="525"/>
      <c r="L24" s="233"/>
      <c r="M24" s="232"/>
      <c r="N24" s="583" t="str">
        <f t="shared" ref="N24:N25" si="0">IF(OR($F$11="E &amp; F", $F$11="G"),ROUND(J24/(1-($J$22/$J$27)),2),"")</f>
        <v/>
      </c>
      <c r="O24" s="583"/>
      <c r="P24" s="591" t="s">
        <v>565</v>
      </c>
      <c r="Q24" s="481"/>
      <c r="R24" s="583" t="str">
        <f>N24</f>
        <v/>
      </c>
      <c r="S24" s="580"/>
      <c r="T24" s="232"/>
      <c r="U24" s="250"/>
      <c r="V24" s="580" t="str">
        <f>IF(OR(F11="E &amp; F", F11="G"),ROUND(R24/R29*100,2), "")</f>
        <v/>
      </c>
      <c r="W24" s="580"/>
      <c r="X24" s="232"/>
      <c r="Y24" s="255"/>
      <c r="Z24" s="580" t="str">
        <f>IF(OR(F11="E &amp; F", F11="G"),ROUND(V24*AD28/100,2), "")</f>
        <v/>
      </c>
      <c r="AA24" s="580"/>
      <c r="AB24" s="256"/>
      <c r="AC24" s="232"/>
      <c r="AD24" s="580" t="str">
        <f>IF(OR(F11="E &amp; F", F11="G"),ROUND(AD23+Z24,2), "")</f>
        <v/>
      </c>
      <c r="AE24" s="580"/>
      <c r="AF24" s="233"/>
    </row>
    <row r="25" spans="2:32" x14ac:dyDescent="0.2">
      <c r="B25" s="558" t="str">
        <f>IF(OR(F11="E &amp; F", F11="G"),"No. 4", "")</f>
        <v/>
      </c>
      <c r="C25" s="559"/>
      <c r="D25" s="238" t="str">
        <f>IF(OR(F11="E &amp; F", F11="G"),"B3","")</f>
        <v/>
      </c>
      <c r="E25" s="573"/>
      <c r="F25" s="574"/>
      <c r="G25" s="574"/>
      <c r="H25" s="575"/>
      <c r="I25" s="232"/>
      <c r="J25" s="525"/>
      <c r="K25" s="525"/>
      <c r="L25" s="233"/>
      <c r="M25" s="232"/>
      <c r="N25" s="583" t="str">
        <f t="shared" si="0"/>
        <v/>
      </c>
      <c r="O25" s="583"/>
      <c r="P25" s="591" t="s">
        <v>565</v>
      </c>
      <c r="Q25" s="481"/>
      <c r="R25" s="583" t="str">
        <f>N25</f>
        <v/>
      </c>
      <c r="S25" s="580"/>
      <c r="T25" s="232"/>
      <c r="U25" s="250"/>
      <c r="V25" s="580" t="str">
        <f>IF(OR(F11="E &amp; F", F11="G"),ROUND(R25/R29*100,2), "")</f>
        <v/>
      </c>
      <c r="W25" s="580"/>
      <c r="X25" s="232"/>
      <c r="Y25" s="255"/>
      <c r="Z25" s="580" t="str">
        <f>IF(OR(F11="E &amp; F", F11="G"),ROUND(V25*AD28/100,2), "")</f>
        <v/>
      </c>
      <c r="AA25" s="580"/>
      <c r="AB25" s="256"/>
      <c r="AC25" s="232"/>
      <c r="AD25" s="580" t="str">
        <f>IF(OR(F11="E &amp; F", F11="G"),ROUND(AD24+Z25,2), "")</f>
        <v/>
      </c>
      <c r="AE25" s="580"/>
      <c r="AF25" s="233"/>
    </row>
    <row r="26" spans="2:32" ht="13.5" thickBot="1" x14ac:dyDescent="0.25">
      <c r="B26" s="558" t="str">
        <f>IF(F11="E &amp; F","No. 10", "")</f>
        <v/>
      </c>
      <c r="C26" s="559"/>
      <c r="D26" s="239" t="str">
        <f>IF(F11="E &amp; F","B4","")</f>
        <v/>
      </c>
      <c r="E26" s="570"/>
      <c r="F26" s="571"/>
      <c r="G26" s="571"/>
      <c r="H26" s="572"/>
      <c r="I26" s="240"/>
      <c r="J26" s="590"/>
      <c r="K26" s="590"/>
      <c r="L26" s="241"/>
      <c r="M26" s="240"/>
      <c r="N26" s="581" t="str">
        <f>IF(OR($F$11="E &amp; F"),ROUND(J26/(1-($J$22/$J$27)),2),"")</f>
        <v/>
      </c>
      <c r="O26" s="581"/>
      <c r="P26" s="587" t="s">
        <v>565</v>
      </c>
      <c r="Q26" s="587"/>
      <c r="R26" s="581" t="str">
        <f>N26</f>
        <v/>
      </c>
      <c r="S26" s="581"/>
      <c r="T26" s="240"/>
      <c r="U26" s="251"/>
      <c r="V26" s="582" t="str">
        <f>IF(OR(F11="E &amp; F"),ROUND(R26/R29*100,2), "")</f>
        <v/>
      </c>
      <c r="W26" s="582"/>
      <c r="X26" s="234"/>
      <c r="Y26" s="257"/>
      <c r="Z26" s="581" t="str">
        <f>IF(OR(F11="E &amp; F"),ROUND(V26*AD28/100,2), "")</f>
        <v/>
      </c>
      <c r="AA26" s="581"/>
      <c r="AB26" s="258"/>
      <c r="AC26" s="240"/>
      <c r="AD26" s="581" t="str">
        <f>IF(OR(F11="E &amp; F"),ROUND(AD25+Z26,2), "")</f>
        <v/>
      </c>
      <c r="AE26" s="581"/>
      <c r="AF26" s="241"/>
    </row>
    <row r="27" spans="2:32" ht="14.25" thickTop="1" thickBot="1" x14ac:dyDescent="0.25">
      <c r="B27" s="558" t="str">
        <f>IF(OR(F11="E &amp; F", F11="G"),"Subtotal", "")</f>
        <v/>
      </c>
      <c r="C27" s="559"/>
      <c r="D27" s="242" t="str">
        <f>IF(OR(F11="E &amp; F", F11="G"),"C","")</f>
        <v/>
      </c>
      <c r="E27" s="567" t="str">
        <f>IF(F11="G","A + B1 + B2 + B3", IF(F11="E &amp; F", "A + B1 + B2 + B3 + B4", ""))</f>
        <v/>
      </c>
      <c r="F27" s="568"/>
      <c r="G27" s="568"/>
      <c r="H27" s="569"/>
      <c r="I27" s="243"/>
      <c r="J27" s="557" t="str">
        <f>IF(F11="G", SUM(J22:K25), IF(F11="E &amp; F", SUM(J22:K26),""))</f>
        <v/>
      </c>
      <c r="K27" s="557"/>
      <c r="L27" s="586" t="s">
        <v>565</v>
      </c>
      <c r="M27" s="586"/>
      <c r="N27" s="549" t="str">
        <f>IF(F11="G", SUM(N22:O25), IF(F11="E &amp; F", SUM(N22:O26),""))</f>
        <v/>
      </c>
      <c r="O27" s="557"/>
      <c r="P27" s="243"/>
      <c r="Q27" s="252"/>
      <c r="R27" s="245"/>
      <c r="S27" s="245"/>
      <c r="T27" s="246"/>
      <c r="U27" s="247"/>
      <c r="V27" s="550"/>
      <c r="W27" s="550"/>
      <c r="X27" s="245"/>
      <c r="Y27" s="252"/>
      <c r="Z27" s="550"/>
      <c r="AA27" s="550"/>
      <c r="AB27" s="259"/>
      <c r="AC27" s="245"/>
      <c r="AD27" s="550"/>
      <c r="AE27" s="550"/>
      <c r="AF27" s="246"/>
    </row>
    <row r="28" spans="2:32" ht="14.25" thickTop="1" thickBot="1" x14ac:dyDescent="0.25">
      <c r="B28" s="578" t="str">
        <f>IF(OR(F11="E &amp; F", F11="G"),"- No. 10", "")</f>
        <v/>
      </c>
      <c r="C28" s="579"/>
      <c r="D28" s="242" t="str">
        <f>IF(OR(F11="E &amp; F", F11="G"),"D","")</f>
        <v/>
      </c>
      <c r="E28" s="565"/>
      <c r="F28" s="550"/>
      <c r="G28" s="550"/>
      <c r="H28" s="566"/>
      <c r="I28" s="243"/>
      <c r="J28" s="584"/>
      <c r="K28" s="584"/>
      <c r="L28" s="585" t="s">
        <v>566</v>
      </c>
      <c r="M28" s="586"/>
      <c r="N28" s="586"/>
      <c r="O28" s="586"/>
      <c r="P28" s="586"/>
      <c r="Q28" s="586"/>
      <c r="R28" s="557" t="str">
        <f>IF(OR(F11="E &amp; F", F11="G"),J28, "")</f>
        <v/>
      </c>
      <c r="S28" s="557"/>
      <c r="T28" s="244"/>
      <c r="U28" s="248"/>
      <c r="V28" s="557" t="str">
        <f>IF(OR(F11="E &amp; F", F11="G"),ROUND(R28/R29*100,2), "")</f>
        <v/>
      </c>
      <c r="W28" s="557"/>
      <c r="X28" s="243"/>
      <c r="Y28" s="260"/>
      <c r="Z28" s="557" t="str">
        <f>IF(OR(F11="E &amp; F", F11="G"),ROUND(V28*AD28/100,2), "")</f>
        <v/>
      </c>
      <c r="AA28" s="557"/>
      <c r="AB28" s="261"/>
      <c r="AC28" s="243"/>
      <c r="AD28" s="549" t="str">
        <f>IF(F11="G",18, IF(F11="E &amp; F", 15, ""))</f>
        <v/>
      </c>
      <c r="AE28" s="549"/>
      <c r="AF28" s="244"/>
    </row>
    <row r="29" spans="2:32" ht="14.25" thickTop="1" thickBot="1" x14ac:dyDescent="0.25">
      <c r="B29" s="576" t="str">
        <f>IF(OR(F11="E &amp; F", F11="G"),"Total", "")</f>
        <v/>
      </c>
      <c r="C29" s="577"/>
      <c r="D29" s="242" t="str">
        <f>IF(OR(F11="E &amp; F", F11="G"),"E","")</f>
        <v/>
      </c>
      <c r="E29" s="562" t="str">
        <f>IF(OR(F11="E &amp; F", F11="G"),"C + D","")</f>
        <v/>
      </c>
      <c r="F29" s="563"/>
      <c r="G29" s="563"/>
      <c r="H29" s="564"/>
      <c r="I29" s="243"/>
      <c r="J29" s="557" t="str">
        <f>IF(OR(F11="E &amp; F", F11="G"),J27+J28,"")</f>
        <v/>
      </c>
      <c r="K29" s="557"/>
      <c r="L29" s="586" t="s">
        <v>566</v>
      </c>
      <c r="M29" s="586"/>
      <c r="N29" s="586"/>
      <c r="O29" s="586"/>
      <c r="P29" s="586"/>
      <c r="Q29" s="586"/>
      <c r="R29" s="557" t="str">
        <f>J29</f>
        <v/>
      </c>
      <c r="S29" s="557"/>
      <c r="T29" s="244"/>
      <c r="U29" s="248"/>
      <c r="V29" s="557" t="str">
        <f>IF(OR(F11="E &amp; F", F11="G"),100, "")</f>
        <v/>
      </c>
      <c r="W29" s="557"/>
      <c r="X29" s="243"/>
      <c r="Y29" s="260"/>
      <c r="Z29" s="557" t="str">
        <f>IF(F11="G","K = 18.00", IF(F11="E &amp; F", "K = 15.00", ""))</f>
        <v/>
      </c>
      <c r="AA29" s="557"/>
      <c r="AB29" s="261"/>
      <c r="AC29" s="245"/>
      <c r="AD29" s="550"/>
      <c r="AE29" s="550"/>
      <c r="AF29" s="246"/>
    </row>
    <row r="30" spans="2:32" ht="13.5" thickTop="1" x14ac:dyDescent="0.2">
      <c r="B30" s="212" t="s">
        <v>546</v>
      </c>
    </row>
    <row r="31" spans="2:32" ht="13.5" thickBot="1" x14ac:dyDescent="0.25"/>
    <row r="32" spans="2:32" ht="14.25" customHeight="1" thickTop="1" x14ac:dyDescent="0.2">
      <c r="B32" s="523" t="str">
        <f>IF(F11&lt;&gt;"G", "*MAX. DRY DENSITY OF MATL (", "")</f>
        <v>*MAX. DRY DENSITY OF MATL (</v>
      </c>
      <c r="C32" s="524"/>
      <c r="D32" s="524"/>
      <c r="E32" s="524"/>
      <c r="F32" s="524"/>
      <c r="G32" s="524"/>
      <c r="H32" s="476" t="s">
        <v>563</v>
      </c>
      <c r="I32" s="476"/>
      <c r="J32" s="231" t="str">
        <f>IF(F11&lt;&gt;"G", "), lb/ft3","")</f>
        <v>), lb/ft3</v>
      </c>
      <c r="K32" s="231"/>
      <c r="L32" s="517"/>
      <c r="M32" s="517"/>
      <c r="N32" s="517"/>
      <c r="O32" s="518"/>
      <c r="P32" s="264" t="str">
        <f>IF(F11&lt;&gt;"G", IF(F11="E &amp; F", "H", "A"), "")</f>
        <v>A</v>
      </c>
      <c r="Q32" s="499"/>
      <c r="R32" s="499"/>
      <c r="S32" s="499"/>
      <c r="T32" s="509"/>
      <c r="U32" s="510"/>
      <c r="V32" s="511"/>
    </row>
    <row r="33" spans="1:32" x14ac:dyDescent="0.2">
      <c r="B33" s="514" t="str">
        <f>IF(F11&lt;&gt;"G", "*REQUIRED % BY VOL. OF ADDITIVE (","")</f>
        <v>*REQUIRED % BY VOL. OF ADDITIVE (</v>
      </c>
      <c r="C33" s="515"/>
      <c r="D33" s="515"/>
      <c r="E33" s="515"/>
      <c r="F33" s="515"/>
      <c r="G33" s="515"/>
      <c r="H33" s="515"/>
      <c r="I33" s="515"/>
      <c r="J33" s="525" t="s">
        <v>564</v>
      </c>
      <c r="K33" s="525"/>
      <c r="L33" s="515" t="str">
        <f>IF(F11&lt;&gt;"G", ")","")</f>
        <v>)</v>
      </c>
      <c r="M33" s="515"/>
      <c r="N33" s="515"/>
      <c r="O33" s="516"/>
      <c r="P33" s="265" t="str">
        <f>IF(F11&lt;&gt;"G", IF(F11="E &amp; F", "I", "B"), "")</f>
        <v>B</v>
      </c>
      <c r="Q33" s="512"/>
      <c r="R33" s="512"/>
      <c r="S33" s="512"/>
      <c r="T33" s="506"/>
      <c r="U33" s="507"/>
      <c r="V33" s="508"/>
    </row>
    <row r="34" spans="1:32" x14ac:dyDescent="0.2">
      <c r="B34" s="514" t="str">
        <f>IF(F11&lt;&gt;"G", "*% WT. OF ADDITIVE (","")</f>
        <v>*% WT. OF ADDITIVE (</v>
      </c>
      <c r="C34" s="515"/>
      <c r="D34" s="515"/>
      <c r="E34" s="515"/>
      <c r="F34" s="515"/>
      <c r="G34" s="525"/>
      <c r="H34" s="525"/>
      <c r="I34" s="515" t="str">
        <f>IF(F11&lt;&gt;"G", ")","")</f>
        <v>)</v>
      </c>
      <c r="J34" s="515"/>
      <c r="K34" s="515"/>
      <c r="L34" s="515"/>
      <c r="M34" s="515"/>
      <c r="N34" s="515"/>
      <c r="O34" s="516"/>
      <c r="P34" s="265" t="str">
        <f>IF(F11&lt;&gt;"G", IF(F11="E &amp; F", "J", "C"), "")</f>
        <v>C</v>
      </c>
      <c r="Q34" s="512"/>
      <c r="R34" s="512"/>
      <c r="S34" s="512"/>
      <c r="T34" s="506"/>
      <c r="U34" s="507"/>
      <c r="V34" s="508"/>
    </row>
    <row r="35" spans="1:32" x14ac:dyDescent="0.2">
      <c r="B35" s="514" t="str">
        <f>IF(F11&lt;&gt;"G", "DRY WT. OF MATERIAL (Representative portion), lb","")</f>
        <v>DRY WT. OF MATERIAL (Representative portion), lb</v>
      </c>
      <c r="C35" s="515"/>
      <c r="D35" s="515"/>
      <c r="E35" s="515"/>
      <c r="F35" s="515"/>
      <c r="G35" s="515"/>
      <c r="H35" s="515"/>
      <c r="I35" s="515"/>
      <c r="J35" s="515"/>
      <c r="K35" s="515"/>
      <c r="L35" s="525"/>
      <c r="M35" s="525"/>
      <c r="N35" s="525"/>
      <c r="O35" s="268"/>
      <c r="P35" s="266" t="str">
        <f>IF(F11&lt;&gt;"G", IF(F11="E &amp; F", "K", "D"), "")</f>
        <v>D</v>
      </c>
      <c r="Q35" s="513" t="str">
        <f>IF(OR(F11="C &amp; D", F11="E &amp; F"), 15,"")</f>
        <v/>
      </c>
      <c r="R35" s="513"/>
      <c r="S35" s="513"/>
      <c r="T35" s="503"/>
      <c r="U35" s="504"/>
      <c r="V35" s="505"/>
    </row>
    <row r="36" spans="1:32" x14ac:dyDescent="0.2">
      <c r="B36" s="514" t="str">
        <f>IF(F11&lt;&gt;"G", "*WT. OF ADDITIVE TO BE ADDED, lb","")</f>
        <v>*WT. OF ADDITIVE TO BE ADDED, lb</v>
      </c>
      <c r="C36" s="515"/>
      <c r="D36" s="515"/>
      <c r="E36" s="515"/>
      <c r="F36" s="515"/>
      <c r="G36" s="515"/>
      <c r="H36" s="515"/>
      <c r="I36" s="515"/>
      <c r="J36" s="515"/>
      <c r="K36" s="515"/>
      <c r="L36" s="515"/>
      <c r="M36" s="515"/>
      <c r="N36" s="515"/>
      <c r="O36" s="516"/>
      <c r="P36" s="266" t="str">
        <f>IF(F11&lt;&gt;"G", IF(F11="E &amp; F", "L", "E"), "")</f>
        <v>E</v>
      </c>
      <c r="Q36" s="500" t="str">
        <f>IF(F11&lt;&gt;"G", "(C x D) / 100", "")</f>
        <v>(C x D) / 100</v>
      </c>
      <c r="R36" s="500"/>
      <c r="S36" s="500"/>
      <c r="T36" s="480">
        <f>IF(F11&lt;&gt;"G",IF(OR(F11="C &amp; D", F11="E &amp; F"), ROUND(T34*Q35/100,2),ROUND(T34*T35/100,2)),"")</f>
        <v>0</v>
      </c>
      <c r="U36" s="481"/>
      <c r="V36" s="483"/>
    </row>
    <row r="37" spans="1:32" ht="13.5" thickBot="1" x14ac:dyDescent="0.25">
      <c r="B37" s="519" t="str">
        <f>IF(F11&lt;&gt;"G", "*TOTAL DRY WT. OF MATERIAL AND ADDITIVE, lb","")</f>
        <v>*TOTAL DRY WT. OF MATERIAL AND ADDITIVE, lb</v>
      </c>
      <c r="C37" s="520"/>
      <c r="D37" s="520"/>
      <c r="E37" s="520"/>
      <c r="F37" s="520"/>
      <c r="G37" s="520"/>
      <c r="H37" s="520"/>
      <c r="I37" s="520"/>
      <c r="J37" s="520"/>
      <c r="K37" s="520"/>
      <c r="L37" s="520"/>
      <c r="M37" s="520"/>
      <c r="N37" s="520"/>
      <c r="O37" s="521"/>
      <c r="P37" s="267" t="str">
        <f>IF(F11&lt;&gt;"G", IF(F11="E &amp; F", "M", "F"), "")</f>
        <v>F</v>
      </c>
      <c r="Q37" s="496" t="str">
        <f>IF(F11&lt;&gt;"G", "D + E", "")</f>
        <v>D + E</v>
      </c>
      <c r="R37" s="496"/>
      <c r="S37" s="496"/>
      <c r="T37" s="467">
        <f>IF(F11&lt;&gt;"G",ROUND(T35+T36,2),"")</f>
        <v>0</v>
      </c>
      <c r="U37" s="468"/>
      <c r="V37" s="469"/>
    </row>
    <row r="38" spans="1:32" ht="13.5" thickTop="1" x14ac:dyDescent="0.2">
      <c r="B38" s="212" t="s">
        <v>544</v>
      </c>
    </row>
    <row r="39" spans="1:32" ht="13.5" thickBot="1" x14ac:dyDescent="0.25">
      <c r="B39" s="212"/>
    </row>
    <row r="40" spans="1:32" ht="13.5" thickTop="1" x14ac:dyDescent="0.2">
      <c r="A40" s="492" t="s">
        <v>532</v>
      </c>
      <c r="B40" s="493"/>
      <c r="C40" s="493"/>
      <c r="D40" s="493"/>
      <c r="E40" s="493"/>
      <c r="F40" s="493"/>
      <c r="G40" s="493"/>
      <c r="H40" s="493"/>
      <c r="I40" s="498" t="s">
        <v>567</v>
      </c>
      <c r="J40" s="498"/>
      <c r="K40" s="499"/>
      <c r="L40" s="499"/>
      <c r="M40" s="499"/>
      <c r="N40" s="499"/>
      <c r="O40" s="461">
        <v>1</v>
      </c>
      <c r="P40" s="461"/>
      <c r="Q40" s="461"/>
      <c r="R40" s="461">
        <v>2</v>
      </c>
      <c r="S40" s="461"/>
      <c r="T40" s="461"/>
      <c r="U40" s="461">
        <v>3</v>
      </c>
      <c r="V40" s="461"/>
      <c r="W40" s="461"/>
      <c r="X40" s="461">
        <v>4</v>
      </c>
      <c r="Y40" s="461"/>
      <c r="Z40" s="461"/>
      <c r="AA40" s="461">
        <v>5</v>
      </c>
      <c r="AB40" s="461"/>
      <c r="AC40" s="461"/>
      <c r="AD40" s="461">
        <v>6</v>
      </c>
      <c r="AE40" s="461"/>
      <c r="AF40" s="462"/>
    </row>
    <row r="41" spans="1:32" x14ac:dyDescent="0.2">
      <c r="A41" s="488" t="str">
        <f>IF(F11="A &amp; B","MOISTURE CUP NO.", "PAN NO. (if applicable)")</f>
        <v>MOISTURE CUP NO.</v>
      </c>
      <c r="B41" s="489"/>
      <c r="C41" s="489"/>
      <c r="D41" s="489"/>
      <c r="E41" s="489"/>
      <c r="F41" s="489"/>
      <c r="G41" s="489"/>
      <c r="H41" s="489"/>
      <c r="I41" s="497" t="s">
        <v>567</v>
      </c>
      <c r="J41" s="497"/>
      <c r="K41" s="494"/>
      <c r="L41" s="494"/>
      <c r="M41" s="494"/>
      <c r="N41" s="494"/>
      <c r="O41" s="471"/>
      <c r="P41" s="471"/>
      <c r="Q41" s="471"/>
      <c r="R41" s="471"/>
      <c r="S41" s="471"/>
      <c r="T41" s="471"/>
      <c r="U41" s="471"/>
      <c r="V41" s="471"/>
      <c r="W41" s="471"/>
      <c r="X41" s="471"/>
      <c r="Y41" s="471"/>
      <c r="Z41" s="471"/>
      <c r="AA41" s="471"/>
      <c r="AB41" s="471"/>
      <c r="AC41" s="471"/>
      <c r="AD41" s="471"/>
      <c r="AE41" s="471"/>
      <c r="AF41" s="472"/>
    </row>
    <row r="42" spans="1:32" ht="13.5" thickBot="1" x14ac:dyDescent="0.25">
      <c r="A42" s="486" t="s">
        <v>533</v>
      </c>
      <c r="B42" s="487"/>
      <c r="C42" s="487"/>
      <c r="D42" s="487"/>
      <c r="E42" s="487"/>
      <c r="F42" s="487"/>
      <c r="G42" s="487"/>
      <c r="H42" s="487"/>
      <c r="I42" s="496" t="str">
        <f>IF(F11="E &amp; F", "N", IF(F11="G", "H", "G"))</f>
        <v>G</v>
      </c>
      <c r="J42" s="496"/>
      <c r="K42" s="496" t="s">
        <v>568</v>
      </c>
      <c r="L42" s="496"/>
      <c r="M42" s="496"/>
      <c r="N42" s="496"/>
      <c r="O42" s="479"/>
      <c r="P42" s="479"/>
      <c r="Q42" s="479"/>
      <c r="R42" s="479"/>
      <c r="S42" s="479"/>
      <c r="T42" s="479"/>
      <c r="U42" s="479"/>
      <c r="V42" s="479"/>
      <c r="W42" s="479"/>
      <c r="X42" s="479"/>
      <c r="Y42" s="479"/>
      <c r="Z42" s="479"/>
      <c r="AA42" s="479"/>
      <c r="AB42" s="479"/>
      <c r="AC42" s="479"/>
      <c r="AD42" s="479"/>
      <c r="AE42" s="479"/>
      <c r="AF42" s="491"/>
    </row>
    <row r="43" spans="1:32" ht="13.5" thickTop="1" x14ac:dyDescent="0.2">
      <c r="A43" s="484" t="s">
        <v>534</v>
      </c>
      <c r="B43" s="485"/>
      <c r="C43" s="485"/>
      <c r="D43" s="485"/>
      <c r="E43" s="485"/>
      <c r="F43" s="485"/>
      <c r="G43" s="485"/>
      <c r="H43" s="485"/>
      <c r="I43" s="495" t="str">
        <f>IF(F11="E &amp; F", "O", IF(F11="G", "I", "H"))</f>
        <v>H</v>
      </c>
      <c r="J43" s="495"/>
      <c r="K43" s="499"/>
      <c r="L43" s="499"/>
      <c r="M43" s="499"/>
      <c r="N43" s="499"/>
      <c r="O43" s="474">
        <v>13.15</v>
      </c>
      <c r="P43" s="474"/>
      <c r="Q43" s="474"/>
      <c r="R43" s="474">
        <v>13.28</v>
      </c>
      <c r="S43" s="474"/>
      <c r="T43" s="474"/>
      <c r="U43" s="474">
        <v>13.45</v>
      </c>
      <c r="V43" s="474"/>
      <c r="W43" s="474"/>
      <c r="X43" s="474">
        <v>13.47</v>
      </c>
      <c r="Y43" s="474"/>
      <c r="Z43" s="474"/>
      <c r="AA43" s="474">
        <v>13.36</v>
      </c>
      <c r="AB43" s="474"/>
      <c r="AC43" s="474"/>
      <c r="AD43" s="474"/>
      <c r="AE43" s="474"/>
      <c r="AF43" s="490"/>
    </row>
    <row r="44" spans="1:32" x14ac:dyDescent="0.2">
      <c r="A44" s="488" t="s">
        <v>535</v>
      </c>
      <c r="B44" s="489"/>
      <c r="C44" s="489"/>
      <c r="D44" s="489"/>
      <c r="E44" s="489"/>
      <c r="F44" s="489"/>
      <c r="G44" s="489"/>
      <c r="H44" s="489"/>
      <c r="I44" s="500" t="str">
        <f>IF(F11="E &amp; F", "P", IF(F11="G", "J", "I"))</f>
        <v>I</v>
      </c>
      <c r="J44" s="500"/>
      <c r="K44" s="494"/>
      <c r="L44" s="494"/>
      <c r="M44" s="494"/>
      <c r="N44" s="494"/>
      <c r="O44" s="471">
        <v>9.25</v>
      </c>
      <c r="P44" s="471"/>
      <c r="Q44" s="471"/>
      <c r="R44" s="471">
        <v>9.25</v>
      </c>
      <c r="S44" s="471"/>
      <c r="T44" s="471"/>
      <c r="U44" s="471">
        <v>9.25</v>
      </c>
      <c r="V44" s="471"/>
      <c r="W44" s="471"/>
      <c r="X44" s="471">
        <v>9.25</v>
      </c>
      <c r="Y44" s="471"/>
      <c r="Z44" s="471"/>
      <c r="AA44" s="471">
        <v>9.25</v>
      </c>
      <c r="AB44" s="471"/>
      <c r="AC44" s="471"/>
      <c r="AD44" s="471"/>
      <c r="AE44" s="471"/>
      <c r="AF44" s="472"/>
    </row>
    <row r="45" spans="1:32" x14ac:dyDescent="0.2">
      <c r="A45" s="488" t="s">
        <v>536</v>
      </c>
      <c r="B45" s="489"/>
      <c r="C45" s="489"/>
      <c r="D45" s="489"/>
      <c r="E45" s="489"/>
      <c r="F45" s="489"/>
      <c r="G45" s="489"/>
      <c r="H45" s="489"/>
      <c r="I45" s="500" t="str">
        <f>IF(F11="E &amp; F", "Q", IF(F11="G", "K", "J"))</f>
        <v>J</v>
      </c>
      <c r="J45" s="500"/>
      <c r="K45" s="500" t="str">
        <f>IF(F11="E &amp; F", "O - P", IF(F11="G", "I - J", "H - I"))</f>
        <v>H - I</v>
      </c>
      <c r="L45" s="500"/>
      <c r="M45" s="500"/>
      <c r="N45" s="500"/>
      <c r="O45" s="458">
        <f>IF(ISNUMBER(O43),O43-O44,"")</f>
        <v>3.9000000000000004</v>
      </c>
      <c r="P45" s="458"/>
      <c r="Q45" s="458"/>
      <c r="R45" s="480">
        <f t="shared" ref="R45" si="1">IF(ISNUMBER(R43),R43-R44,"")</f>
        <v>4.0299999999999994</v>
      </c>
      <c r="S45" s="481"/>
      <c r="T45" s="482"/>
      <c r="U45" s="480">
        <f t="shared" ref="U45" si="2">IF(ISNUMBER(U43),U43-U44,"")</f>
        <v>4.1999999999999993</v>
      </c>
      <c r="V45" s="481"/>
      <c r="W45" s="482"/>
      <c r="X45" s="480">
        <f t="shared" ref="X45" si="3">IF(ISNUMBER(X43),X43-X44,"")</f>
        <v>4.2200000000000006</v>
      </c>
      <c r="Y45" s="481"/>
      <c r="Z45" s="482"/>
      <c r="AA45" s="480">
        <f t="shared" ref="AA45" si="4">IF(ISNUMBER(AA43),AA43-AA44,"")</f>
        <v>4.1099999999999994</v>
      </c>
      <c r="AB45" s="481"/>
      <c r="AC45" s="482"/>
      <c r="AD45" s="480" t="str">
        <f t="shared" ref="AD45" si="5">IF(ISNUMBER(AD43),AD43-AD44,"")</f>
        <v/>
      </c>
      <c r="AE45" s="481"/>
      <c r="AF45" s="483"/>
    </row>
    <row r="46" spans="1:32" ht="13.5" thickBot="1" x14ac:dyDescent="0.25">
      <c r="A46" s="486" t="str">
        <f>IF(OR(F11="E &amp; F", F11="C &amp; D", F11="H &amp; I"),"VOLUME OF MOLD (or specimen), ft^3", "")</f>
        <v/>
      </c>
      <c r="B46" s="487"/>
      <c r="C46" s="487"/>
      <c r="D46" s="487"/>
      <c r="E46" s="487"/>
      <c r="F46" s="487"/>
      <c r="G46" s="487"/>
      <c r="H46" s="487"/>
      <c r="I46" s="496" t="str">
        <f>IF(F11="E &amp; F", "R", IF(OR(F11="C &amp; D", F11="H &amp; I"), "K", ""))</f>
        <v/>
      </c>
      <c r="J46" s="496"/>
      <c r="K46" s="502"/>
      <c r="L46" s="502"/>
      <c r="M46" s="502"/>
      <c r="N46" s="502"/>
      <c r="O46" s="479"/>
      <c r="P46" s="479"/>
      <c r="Q46" s="479"/>
      <c r="R46" s="467"/>
      <c r="S46" s="468"/>
      <c r="T46" s="468"/>
      <c r="U46" s="468"/>
      <c r="V46" s="468"/>
      <c r="W46" s="468"/>
      <c r="X46" s="468"/>
      <c r="Y46" s="468"/>
      <c r="Z46" s="468"/>
      <c r="AA46" s="468"/>
      <c r="AB46" s="468"/>
      <c r="AC46" s="468"/>
      <c r="AD46" s="468"/>
      <c r="AE46" s="468"/>
      <c r="AF46" s="469"/>
    </row>
    <row r="47" spans="1:32" ht="13.5" thickTop="1" x14ac:dyDescent="0.2">
      <c r="A47" s="492" t="str">
        <f>IF(F11="A &amp; B", "WT. OF CUP &amp; WET SOIL, g", "WT. OF PAN &amp; DRY MATERIAL, lb")</f>
        <v>WT. OF CUP &amp; WET SOIL, g</v>
      </c>
      <c r="B47" s="493"/>
      <c r="C47" s="493"/>
      <c r="D47" s="493"/>
      <c r="E47" s="493"/>
      <c r="F47" s="493"/>
      <c r="G47" s="493"/>
      <c r="H47" s="493"/>
      <c r="I47" s="495" t="str">
        <f>IF(F11="E &amp; F", "S", IF(F11="A &amp; B", "K", "L"))</f>
        <v>K</v>
      </c>
      <c r="J47" s="495"/>
      <c r="K47" s="499"/>
      <c r="L47" s="499"/>
      <c r="M47" s="499"/>
      <c r="N47" s="499"/>
      <c r="O47" s="474">
        <v>586</v>
      </c>
      <c r="P47" s="474"/>
      <c r="Q47" s="474"/>
      <c r="R47" s="475">
        <v>587.79999999999995</v>
      </c>
      <c r="S47" s="476"/>
      <c r="T47" s="477"/>
      <c r="U47" s="475">
        <v>604.20000000000005</v>
      </c>
      <c r="V47" s="476"/>
      <c r="W47" s="477"/>
      <c r="X47" s="475">
        <v>601.29999999999995</v>
      </c>
      <c r="Y47" s="476"/>
      <c r="Z47" s="477"/>
      <c r="AA47" s="475">
        <v>616.9</v>
      </c>
      <c r="AB47" s="476"/>
      <c r="AC47" s="477"/>
      <c r="AD47" s="475"/>
      <c r="AE47" s="476"/>
      <c r="AF47" s="478"/>
    </row>
    <row r="48" spans="1:32" x14ac:dyDescent="0.2">
      <c r="A48" s="488" t="str">
        <f>IF(F11="A &amp; B", "WT. OF CUP &amp; DRY SOIL, g", "WT. OF PAN, lb")</f>
        <v>WT. OF CUP &amp; DRY SOIL, g</v>
      </c>
      <c r="B48" s="489"/>
      <c r="C48" s="489"/>
      <c r="D48" s="489"/>
      <c r="E48" s="489"/>
      <c r="F48" s="489"/>
      <c r="G48" s="489"/>
      <c r="H48" s="489"/>
      <c r="I48" s="500" t="str">
        <f>IF(F11="E &amp; F", "T", IF(F11="A &amp; B", "L", "M"))</f>
        <v>L</v>
      </c>
      <c r="J48" s="500"/>
      <c r="K48" s="494"/>
      <c r="L48" s="494"/>
      <c r="M48" s="494"/>
      <c r="N48" s="494"/>
      <c r="O48" s="471">
        <v>533.5</v>
      </c>
      <c r="P48" s="471"/>
      <c r="Q48" s="471"/>
      <c r="R48" s="471">
        <v>526.5</v>
      </c>
      <c r="S48" s="471"/>
      <c r="T48" s="471"/>
      <c r="U48" s="471">
        <v>530.79999999999995</v>
      </c>
      <c r="V48" s="471"/>
      <c r="W48" s="471"/>
      <c r="X48" s="471">
        <v>521.70000000000005</v>
      </c>
      <c r="Y48" s="471"/>
      <c r="Z48" s="471"/>
      <c r="AA48" s="471">
        <v>526.79999999999995</v>
      </c>
      <c r="AB48" s="471"/>
      <c r="AC48" s="471"/>
      <c r="AD48" s="471"/>
      <c r="AE48" s="471"/>
      <c r="AF48" s="472"/>
    </row>
    <row r="49" spans="1:32" x14ac:dyDescent="0.2">
      <c r="A49" s="488" t="str">
        <f>IF(F11="A &amp; B", "WT. OF WATER, g", "WT. OF DRY MATERIAL, lb")</f>
        <v>WT. OF WATER, g</v>
      </c>
      <c r="B49" s="489"/>
      <c r="C49" s="489"/>
      <c r="D49" s="489"/>
      <c r="E49" s="489"/>
      <c r="F49" s="489"/>
      <c r="G49" s="489"/>
      <c r="H49" s="489"/>
      <c r="I49" s="500" t="str">
        <f>IF(F11="A &amp; B","WW","DW")</f>
        <v>WW</v>
      </c>
      <c r="J49" s="500"/>
      <c r="K49" s="500" t="str">
        <f>IF(F11="A &amp; B", "K - L", IF(F11="E &amp; F", "S - T", "L - M"))</f>
        <v>K - L</v>
      </c>
      <c r="L49" s="500"/>
      <c r="M49" s="500"/>
      <c r="N49" s="500"/>
      <c r="O49" s="473">
        <f>IF(ISNUMBER(O47),O47-O48,"")</f>
        <v>52.5</v>
      </c>
      <c r="P49" s="473"/>
      <c r="Q49" s="473"/>
      <c r="R49" s="473">
        <f t="shared" ref="R49" si="6">IF(ISNUMBER(R47),R47-R48,"")</f>
        <v>61.299999999999955</v>
      </c>
      <c r="S49" s="473"/>
      <c r="T49" s="473"/>
      <c r="U49" s="473">
        <f t="shared" ref="U49" si="7">IF(ISNUMBER(U47),U47-U48,"")</f>
        <v>73.400000000000091</v>
      </c>
      <c r="V49" s="473"/>
      <c r="W49" s="473"/>
      <c r="X49" s="473">
        <f t="shared" ref="X49" si="8">IF(ISNUMBER(X47),X47-X48,"")</f>
        <v>79.599999999999909</v>
      </c>
      <c r="Y49" s="473"/>
      <c r="Z49" s="473"/>
      <c r="AA49" s="473">
        <f t="shared" ref="AA49" si="9">IF(ISNUMBER(AA47),AA47-AA48,"")</f>
        <v>90.100000000000023</v>
      </c>
      <c r="AB49" s="473"/>
      <c r="AC49" s="473"/>
      <c r="AD49" s="458" t="str">
        <f t="shared" ref="AD49" si="10">IF(ISNUMBER(AD47),AD47-AD48,"")</f>
        <v/>
      </c>
      <c r="AE49" s="458"/>
      <c r="AF49" s="459"/>
    </row>
    <row r="50" spans="1:32" x14ac:dyDescent="0.2">
      <c r="A50" s="488" t="str">
        <f>IF(F11="A &amp; B", "WT. OF CUP, g", "")</f>
        <v>WT. OF CUP, g</v>
      </c>
      <c r="B50" s="489"/>
      <c r="C50" s="489"/>
      <c r="D50" s="489"/>
      <c r="E50" s="489"/>
      <c r="F50" s="489"/>
      <c r="G50" s="489"/>
      <c r="H50" s="489"/>
      <c r="I50" s="500" t="str">
        <f>IF(F11="A &amp; B","M","")</f>
        <v>M</v>
      </c>
      <c r="J50" s="500"/>
      <c r="K50" s="494"/>
      <c r="L50" s="494"/>
      <c r="M50" s="494"/>
      <c r="N50" s="494"/>
      <c r="O50" s="470">
        <v>47.5</v>
      </c>
      <c r="P50" s="471"/>
      <c r="Q50" s="471"/>
      <c r="R50" s="471">
        <v>47.5</v>
      </c>
      <c r="S50" s="471"/>
      <c r="T50" s="471"/>
      <c r="U50" s="471">
        <v>47.6</v>
      </c>
      <c r="V50" s="471"/>
      <c r="W50" s="471"/>
      <c r="X50" s="471">
        <v>47.6</v>
      </c>
      <c r="Y50" s="471"/>
      <c r="Z50" s="471"/>
      <c r="AA50" s="471">
        <v>47.5</v>
      </c>
      <c r="AB50" s="471"/>
      <c r="AC50" s="471"/>
      <c r="AD50" s="471"/>
      <c r="AE50" s="471"/>
      <c r="AF50" s="472"/>
    </row>
    <row r="51" spans="1:32" ht="13.5" thickBot="1" x14ac:dyDescent="0.25">
      <c r="A51" s="486" t="str">
        <f>IF(F11="A &amp; B", "WT. OF DRY SOIL, g", "WT. OF WATER, lb")</f>
        <v>WT. OF DRY SOIL, g</v>
      </c>
      <c r="B51" s="487"/>
      <c r="C51" s="487"/>
      <c r="D51" s="487"/>
      <c r="E51" s="487"/>
      <c r="F51" s="487"/>
      <c r="G51" s="487"/>
      <c r="H51" s="487"/>
      <c r="I51" s="496" t="str">
        <f>IF(F11="A &amp; B","DW","WW")</f>
        <v>DW</v>
      </c>
      <c r="J51" s="496"/>
      <c r="K51" s="496" t="str">
        <f>IF(F11="A &amp; B", "L - M", IF(F11="E &amp; F", "Q - DW", IF(F11="G", "K - DW", "J - DW")))</f>
        <v>L - M</v>
      </c>
      <c r="L51" s="496"/>
      <c r="M51" s="496"/>
      <c r="N51" s="496"/>
      <c r="O51" s="463">
        <f>IF($F$11="A &amp; B",IF(ISNUMBER(O48),O48-O50,""),IF(ISNUMBER(O49),O45-O49,""))</f>
        <v>486</v>
      </c>
      <c r="P51" s="463"/>
      <c r="Q51" s="463"/>
      <c r="R51" s="464">
        <f t="shared" ref="R51" si="11">IF($F$11="A &amp; B",IF(ISNUMBER(R48),R48-R50,""),IF(ISNUMBER(R49),R45-R49,""))</f>
        <v>479</v>
      </c>
      <c r="S51" s="465"/>
      <c r="T51" s="466"/>
      <c r="U51" s="464">
        <f t="shared" ref="U51" si="12">IF($F$11="A &amp; B",IF(ISNUMBER(U48),U48-U50,""),IF(ISNUMBER(U49),U45-U49,""))</f>
        <v>483.19999999999993</v>
      </c>
      <c r="V51" s="465"/>
      <c r="W51" s="466"/>
      <c r="X51" s="464">
        <f t="shared" ref="X51" si="13">IF($F$11="A &amp; B",IF(ISNUMBER(X48),X48-X50,""),IF(ISNUMBER(X49),X45-X49,""))</f>
        <v>474.1</v>
      </c>
      <c r="Y51" s="465"/>
      <c r="Z51" s="466"/>
      <c r="AA51" s="464">
        <f t="shared" ref="AA51" si="14">IF($F$11="A &amp; B",IF(ISNUMBER(AA48),AA48-AA50,""),IF(ISNUMBER(AA49),AA45-AA49,""))</f>
        <v>479.29999999999995</v>
      </c>
      <c r="AB51" s="465"/>
      <c r="AC51" s="466"/>
      <c r="AD51" s="467" t="str">
        <f t="shared" ref="AD51" si="15">IF($F$11="A &amp; B",IF(ISNUMBER(AD48),AD48-AD50,""),IF(ISNUMBER(AD49),AD45-AD49,""))</f>
        <v/>
      </c>
      <c r="AE51" s="468"/>
      <c r="AF51" s="469"/>
    </row>
    <row r="52" spans="1:32" ht="15" thickTop="1" x14ac:dyDescent="0.2">
      <c r="A52" s="492" t="s">
        <v>537</v>
      </c>
      <c r="B52" s="493"/>
      <c r="C52" s="493"/>
      <c r="D52" s="493"/>
      <c r="E52" s="493"/>
      <c r="F52" s="493"/>
      <c r="G52" s="493"/>
      <c r="H52" s="493"/>
      <c r="I52" s="495" t="s">
        <v>309</v>
      </c>
      <c r="J52" s="495"/>
      <c r="K52" s="495" t="str">
        <f>IF(F11="A &amp; B","J x 30",IF(F11="E &amp; F","Q / R",IF(F11="G","K / 0.075","J / K")))</f>
        <v>J x 30</v>
      </c>
      <c r="L52" s="495"/>
      <c r="M52" s="495"/>
      <c r="N52" s="495"/>
      <c r="O52" s="460">
        <f>IF(ISNUMBER(O45),IF($F$11="A &amp; B", ROUND(O45*30,1), IF($F$11="G", ROUND(O45/0.075,1), ROUND(O45/$O$46,1))),"")</f>
        <v>117</v>
      </c>
      <c r="P52" s="460"/>
      <c r="Q52" s="460"/>
      <c r="R52" s="460">
        <f>IF(ISNUMBER(R45),IF($F$11="A &amp; B", ROUND(R45*30,1), IF($F$11="G", ROUND(R45/0.075,1), ROUND(R45/$O$46,1))),"")</f>
        <v>120.9</v>
      </c>
      <c r="S52" s="460"/>
      <c r="T52" s="460"/>
      <c r="U52" s="460">
        <f>IF(ISNUMBER(U45),IF($F$11="A &amp; B", ROUND(U45*30,1), IF($F$11="G", ROUND(U45/0.075,1), ROUND(U45/$O$46,1))),"")</f>
        <v>126</v>
      </c>
      <c r="V52" s="460"/>
      <c r="W52" s="460"/>
      <c r="X52" s="460">
        <f>IF(ISNUMBER(X45),IF($F$11="A &amp; B", ROUND(X45*30,1), IF($F$11="G", ROUND(X45/0.075,1), ROUND(X45/$O$46,1))),"")</f>
        <v>126.6</v>
      </c>
      <c r="Y52" s="460"/>
      <c r="Z52" s="460"/>
      <c r="AA52" s="460">
        <f>IF(ISNUMBER(AA45),IF($F$11="A &amp; B", ROUND(AA45*30,1), IF($F$11="G", ROUND(AA45/0.075,1), ROUND(AA45/$O$46,1))),"")</f>
        <v>123.3</v>
      </c>
      <c r="AB52" s="460"/>
      <c r="AC52" s="460"/>
      <c r="AD52" s="461" t="str">
        <f>IF(ISNUMBER(AD45),IF($F$11="A &amp; B", ROUND(AD45*30,1), IF($F$11="G", ROUND(AD45/0.075,1), ROUND(AD45/$O$46,1))),"")</f>
        <v/>
      </c>
      <c r="AE52" s="461"/>
      <c r="AF52" s="462"/>
    </row>
    <row r="53" spans="1:32" x14ac:dyDescent="0.2">
      <c r="A53" s="488" t="s">
        <v>538</v>
      </c>
      <c r="B53" s="489"/>
      <c r="C53" s="489"/>
      <c r="D53" s="489"/>
      <c r="E53" s="489"/>
      <c r="F53" s="489"/>
      <c r="G53" s="489"/>
      <c r="H53" s="489"/>
      <c r="I53" s="500" t="s">
        <v>310</v>
      </c>
      <c r="J53" s="500"/>
      <c r="K53" s="500" t="s">
        <v>569</v>
      </c>
      <c r="L53" s="500"/>
      <c r="M53" s="500"/>
      <c r="N53" s="500"/>
      <c r="O53" s="457">
        <f>IF($F$11="A &amp; B",IF(ISNUMBER(O51),ROUND(O49/O51*100,1),""),IF(ISNUMBER(O49),ROUND(O51/O49*100,1),""))</f>
        <v>10.8</v>
      </c>
      <c r="P53" s="457"/>
      <c r="Q53" s="457"/>
      <c r="R53" s="457">
        <f t="shared" ref="R53" si="16">IF($F$11="A &amp; B",IF(ISNUMBER(R51),ROUND(R49/R51*100,1),""),IF(ISNUMBER(R49),ROUND(R51/R49*100,1),""))</f>
        <v>12.8</v>
      </c>
      <c r="S53" s="457"/>
      <c r="T53" s="457"/>
      <c r="U53" s="457">
        <f t="shared" ref="U53" si="17">IF($F$11="A &amp; B",IF(ISNUMBER(U51),ROUND(U49/U51*100,1),""),IF(ISNUMBER(U49),ROUND(U51/U49*100,1),""))</f>
        <v>15.2</v>
      </c>
      <c r="V53" s="457"/>
      <c r="W53" s="457"/>
      <c r="X53" s="457">
        <f t="shared" ref="X53" si="18">IF($F$11="A &amp; B",IF(ISNUMBER(X51),ROUND(X49/X51*100,1),""),IF(ISNUMBER(X49),ROUND(X51/X49*100,1),""))</f>
        <v>16.8</v>
      </c>
      <c r="Y53" s="457"/>
      <c r="Z53" s="457"/>
      <c r="AA53" s="457">
        <f t="shared" ref="AA53" si="19">IF($F$11="A &amp; B",IF(ISNUMBER(AA51),ROUND(AA49/AA51*100,1),""),IF(ISNUMBER(AA49),ROUND(AA51/AA49*100,1),""))</f>
        <v>18.8</v>
      </c>
      <c r="AB53" s="457"/>
      <c r="AC53" s="457"/>
      <c r="AD53" s="458" t="str">
        <f t="shared" ref="AD53" si="20">IF($F$11="A &amp; B",IF(ISNUMBER(AD51),ROUND(AD49/AD51*100,1),""),IF(ISNUMBER(AD49),ROUND(AD51/AD49*100,1),""))</f>
        <v/>
      </c>
      <c r="AE53" s="458"/>
      <c r="AF53" s="459"/>
    </row>
    <row r="54" spans="1:32" ht="15" thickBot="1" x14ac:dyDescent="0.25">
      <c r="A54" s="486" t="s">
        <v>539</v>
      </c>
      <c r="B54" s="487"/>
      <c r="C54" s="487"/>
      <c r="D54" s="487"/>
      <c r="E54" s="487"/>
      <c r="F54" s="487"/>
      <c r="G54" s="487"/>
      <c r="H54" s="487"/>
      <c r="I54" s="496" t="s">
        <v>311</v>
      </c>
      <c r="J54" s="496"/>
      <c r="K54" s="501" t="s">
        <v>570</v>
      </c>
      <c r="L54" s="501"/>
      <c r="M54" s="501"/>
      <c r="N54" s="501"/>
      <c r="O54" s="454">
        <f>IF(ISNUMBER(O53),ROUND(O52/(100+O53)*100,1),"")</f>
        <v>105.6</v>
      </c>
      <c r="P54" s="454"/>
      <c r="Q54" s="454"/>
      <c r="R54" s="454">
        <f t="shared" ref="R54" si="21">IF(ISNUMBER(R53),ROUND(R52/(100+R53)*100,1),"")</f>
        <v>107.2</v>
      </c>
      <c r="S54" s="454"/>
      <c r="T54" s="454"/>
      <c r="U54" s="454">
        <f t="shared" ref="U54" si="22">IF(ISNUMBER(U53),ROUND(U52/(100+U53)*100,1),"")</f>
        <v>109.4</v>
      </c>
      <c r="V54" s="454"/>
      <c r="W54" s="454"/>
      <c r="X54" s="454">
        <f t="shared" ref="X54" si="23">IF(ISNUMBER(X53),ROUND(X52/(100+X53)*100,1),"")</f>
        <v>108.4</v>
      </c>
      <c r="Y54" s="454"/>
      <c r="Z54" s="454"/>
      <c r="AA54" s="454">
        <f t="shared" ref="AA54" si="24">IF(ISNUMBER(AA53),ROUND(AA52/(100+AA53)*100,1),"")</f>
        <v>103.8</v>
      </c>
      <c r="AB54" s="454"/>
      <c r="AC54" s="454"/>
      <c r="AD54" s="455" t="str">
        <f t="shared" ref="AD54" si="25">IF(ISNUMBER(AD53),ROUND(AD52/(100+AD53)*100,1),"")</f>
        <v/>
      </c>
      <c r="AE54" s="455"/>
      <c r="AF54" s="456"/>
    </row>
    <row r="55" spans="1:32" ht="13.5" thickTop="1" x14ac:dyDescent="0.2"/>
    <row r="56" spans="1:32" x14ac:dyDescent="0.2">
      <c r="A56" s="212" t="s">
        <v>473</v>
      </c>
      <c r="C56" s="452"/>
      <c r="D56" s="452"/>
      <c r="E56" s="452"/>
      <c r="F56" s="452"/>
      <c r="G56" s="452"/>
      <c r="H56" s="452"/>
      <c r="I56" s="452"/>
      <c r="J56" s="452"/>
      <c r="K56" s="452"/>
      <c r="L56" s="452"/>
      <c r="M56" s="452"/>
      <c r="N56" s="452"/>
      <c r="O56" s="452"/>
      <c r="P56" s="452"/>
      <c r="Q56" s="452"/>
      <c r="R56" s="452"/>
      <c r="S56" s="452"/>
      <c r="T56" s="452"/>
      <c r="U56" s="452"/>
      <c r="V56" s="452"/>
      <c r="W56" s="452"/>
      <c r="X56" s="452"/>
      <c r="Y56" s="452"/>
      <c r="Z56" s="452"/>
      <c r="AA56" s="452"/>
      <c r="AB56" s="452"/>
      <c r="AC56" s="452"/>
      <c r="AD56" s="452"/>
      <c r="AE56" s="452"/>
      <c r="AF56" s="452"/>
    </row>
    <row r="57" spans="1:32" x14ac:dyDescent="0.2">
      <c r="C57" s="452"/>
      <c r="D57" s="452"/>
      <c r="E57" s="452"/>
      <c r="F57" s="452"/>
      <c r="G57" s="452"/>
      <c r="H57" s="452"/>
      <c r="I57" s="452"/>
      <c r="J57" s="452"/>
      <c r="K57" s="452"/>
      <c r="L57" s="452"/>
      <c r="M57" s="452"/>
      <c r="N57" s="452"/>
      <c r="O57" s="452"/>
      <c r="P57" s="452"/>
      <c r="Q57" s="452"/>
      <c r="R57" s="452"/>
      <c r="S57" s="452"/>
      <c r="T57" s="452"/>
      <c r="U57" s="452"/>
      <c r="V57" s="452"/>
      <c r="W57" s="452"/>
      <c r="X57" s="452"/>
      <c r="Y57" s="452"/>
      <c r="Z57" s="452"/>
      <c r="AA57" s="452"/>
      <c r="AB57" s="452"/>
      <c r="AC57" s="452"/>
      <c r="AD57" s="452"/>
      <c r="AE57" s="452"/>
      <c r="AF57" s="452"/>
    </row>
    <row r="58" spans="1:32" x14ac:dyDescent="0.2">
      <c r="C58" s="453"/>
      <c r="D58" s="453"/>
      <c r="E58" s="453"/>
      <c r="F58" s="453"/>
      <c r="G58" s="453"/>
      <c r="H58" s="453"/>
      <c r="I58" s="453"/>
      <c r="J58" s="453"/>
      <c r="K58" s="453"/>
      <c r="L58" s="453"/>
      <c r="M58" s="453"/>
      <c r="N58" s="453"/>
      <c r="O58" s="453"/>
      <c r="P58" s="453"/>
      <c r="Q58" s="453"/>
      <c r="R58" s="453"/>
      <c r="S58" s="453"/>
      <c r="T58" s="453"/>
      <c r="U58" s="453"/>
      <c r="V58" s="453"/>
      <c r="W58" s="453"/>
      <c r="X58" s="453"/>
      <c r="Y58" s="453"/>
      <c r="Z58" s="453"/>
      <c r="AA58" s="453"/>
      <c r="AB58" s="453"/>
      <c r="AC58" s="453"/>
      <c r="AD58" s="453"/>
      <c r="AE58" s="453"/>
      <c r="AF58" s="453"/>
    </row>
  </sheetData>
  <sheetProtection sheet="1" objects="1" scenarios="1" selectLockedCells="1"/>
  <mergeCells count="297">
    <mergeCell ref="R22:S22"/>
    <mergeCell ref="P22:Q22"/>
    <mergeCell ref="N23:O23"/>
    <mergeCell ref="P23:Q23"/>
    <mergeCell ref="R23:S23"/>
    <mergeCell ref="AC21:AF21"/>
    <mergeCell ref="Y21:AB21"/>
    <mergeCell ref="U21:X21"/>
    <mergeCell ref="Q21:T21"/>
    <mergeCell ref="I21:L21"/>
    <mergeCell ref="J27:K27"/>
    <mergeCell ref="L27:M27"/>
    <mergeCell ref="N27:O27"/>
    <mergeCell ref="J26:K26"/>
    <mergeCell ref="J25:K25"/>
    <mergeCell ref="J24:K24"/>
    <mergeCell ref="N24:O24"/>
    <mergeCell ref="P24:Q24"/>
    <mergeCell ref="N25:O25"/>
    <mergeCell ref="P25:Q25"/>
    <mergeCell ref="M21:P21"/>
    <mergeCell ref="N22:O22"/>
    <mergeCell ref="J28:K28"/>
    <mergeCell ref="R28:S28"/>
    <mergeCell ref="J29:K29"/>
    <mergeCell ref="R29:S29"/>
    <mergeCell ref="L28:Q28"/>
    <mergeCell ref="L29:Q29"/>
    <mergeCell ref="N26:O26"/>
    <mergeCell ref="P26:Q26"/>
    <mergeCell ref="R26:S26"/>
    <mergeCell ref="B25:C25"/>
    <mergeCell ref="B24:C24"/>
    <mergeCell ref="AD22:AE22"/>
    <mergeCell ref="AD23:AE23"/>
    <mergeCell ref="AD24:AE24"/>
    <mergeCell ref="AD25:AE25"/>
    <mergeCell ref="AD26:AE26"/>
    <mergeCell ref="AD27:AE27"/>
    <mergeCell ref="V26:W26"/>
    <mergeCell ref="V27:W27"/>
    <mergeCell ref="Z22:AA22"/>
    <mergeCell ref="Z23:AA23"/>
    <mergeCell ref="Z24:AA24"/>
    <mergeCell ref="Z25:AA25"/>
    <mergeCell ref="Z26:AA26"/>
    <mergeCell ref="Z27:AA27"/>
    <mergeCell ref="J23:K23"/>
    <mergeCell ref="J22:K22"/>
    <mergeCell ref="V22:W22"/>
    <mergeCell ref="V23:W23"/>
    <mergeCell ref="V24:W24"/>
    <mergeCell ref="V25:W25"/>
    <mergeCell ref="R24:S24"/>
    <mergeCell ref="R25:S25"/>
    <mergeCell ref="AD28:AE28"/>
    <mergeCell ref="AD29:AE29"/>
    <mergeCell ref="K17:L17"/>
    <mergeCell ref="O18:P18"/>
    <mergeCell ref="B21:C21"/>
    <mergeCell ref="E21:H21"/>
    <mergeCell ref="V28:W28"/>
    <mergeCell ref="V29:W29"/>
    <mergeCell ref="Z28:AA28"/>
    <mergeCell ref="Z29:AA29"/>
    <mergeCell ref="B23:C23"/>
    <mergeCell ref="B22:C22"/>
    <mergeCell ref="E29:H29"/>
    <mergeCell ref="E28:H28"/>
    <mergeCell ref="E27:H27"/>
    <mergeCell ref="E26:H26"/>
    <mergeCell ref="E25:H25"/>
    <mergeCell ref="E24:H24"/>
    <mergeCell ref="E23:H23"/>
    <mergeCell ref="E22:H22"/>
    <mergeCell ref="B29:C29"/>
    <mergeCell ref="B28:C28"/>
    <mergeCell ref="B27:C27"/>
    <mergeCell ref="B26:C26"/>
    <mergeCell ref="O14:P14"/>
    <mergeCell ref="M17:N17"/>
    <mergeCell ref="M16:N16"/>
    <mergeCell ref="M15:N15"/>
    <mergeCell ref="M14:N14"/>
    <mergeCell ref="O17:P17"/>
    <mergeCell ref="O16:P16"/>
    <mergeCell ref="B18:J18"/>
    <mergeCell ref="B17:J17"/>
    <mergeCell ref="B16:J16"/>
    <mergeCell ref="B15:J15"/>
    <mergeCell ref="B14:J14"/>
    <mergeCell ref="K18:N18"/>
    <mergeCell ref="K14:L14"/>
    <mergeCell ref="K15:L15"/>
    <mergeCell ref="K16:L16"/>
    <mergeCell ref="E1:AB1"/>
    <mergeCell ref="E5:AB5"/>
    <mergeCell ref="E3:AB3"/>
    <mergeCell ref="S4:U4"/>
    <mergeCell ref="Z14:AA14"/>
    <mergeCell ref="Z16:AA16"/>
    <mergeCell ref="Z17:AA17"/>
    <mergeCell ref="Z18:AA18"/>
    <mergeCell ref="W15:AA15"/>
    <mergeCell ref="U17:V17"/>
    <mergeCell ref="U16:V16"/>
    <mergeCell ref="U15:V15"/>
    <mergeCell ref="U14:V14"/>
    <mergeCell ref="W18:Y18"/>
    <mergeCell ref="W17:Y17"/>
    <mergeCell ref="W16:Y16"/>
    <mergeCell ref="W14:Y14"/>
    <mergeCell ref="Q16:R16"/>
    <mergeCell ref="S16:T16"/>
    <mergeCell ref="Q17:R17"/>
    <mergeCell ref="S17:T17"/>
    <mergeCell ref="Q18:T18"/>
    <mergeCell ref="U18:V18"/>
    <mergeCell ref="K13:P13"/>
    <mergeCell ref="E4:R4"/>
    <mergeCell ref="A9:D9"/>
    <mergeCell ref="A8:D8"/>
    <mergeCell ref="A7:D7"/>
    <mergeCell ref="E9:K9"/>
    <mergeCell ref="E8:K8"/>
    <mergeCell ref="E7:K7"/>
    <mergeCell ref="O7:S7"/>
    <mergeCell ref="P9:V9"/>
    <mergeCell ref="P8:V8"/>
    <mergeCell ref="B35:K35"/>
    <mergeCell ref="I34:O34"/>
    <mergeCell ref="L33:O33"/>
    <mergeCell ref="L32:O32"/>
    <mergeCell ref="B37:O37"/>
    <mergeCell ref="B36:O36"/>
    <mergeCell ref="AA8:AF8"/>
    <mergeCell ref="AA7:AF7"/>
    <mergeCell ref="B32:G32"/>
    <mergeCell ref="B33:I33"/>
    <mergeCell ref="B34:F34"/>
    <mergeCell ref="H32:I32"/>
    <mergeCell ref="J33:K33"/>
    <mergeCell ref="G34:H34"/>
    <mergeCell ref="L35:N35"/>
    <mergeCell ref="B13:J13"/>
    <mergeCell ref="W13:AA13"/>
    <mergeCell ref="F11:G11"/>
    <mergeCell ref="Q13:V13"/>
    <mergeCell ref="Q14:R14"/>
    <mergeCell ref="S14:T14"/>
    <mergeCell ref="Q15:R15"/>
    <mergeCell ref="S15:T15"/>
    <mergeCell ref="O15:P15"/>
    <mergeCell ref="T37:V37"/>
    <mergeCell ref="T36:V36"/>
    <mergeCell ref="T35:V35"/>
    <mergeCell ref="T34:V34"/>
    <mergeCell ref="T33:V33"/>
    <mergeCell ref="T32:V32"/>
    <mergeCell ref="Q32:S32"/>
    <mergeCell ref="Q33:S33"/>
    <mergeCell ref="Q34:S34"/>
    <mergeCell ref="Q35:S35"/>
    <mergeCell ref="Q37:S37"/>
    <mergeCell ref="Q36:S36"/>
    <mergeCell ref="I46:J46"/>
    <mergeCell ref="I45:J45"/>
    <mergeCell ref="I44:J44"/>
    <mergeCell ref="I54:J54"/>
    <mergeCell ref="I53:J53"/>
    <mergeCell ref="I52:J52"/>
    <mergeCell ref="I51:J51"/>
    <mergeCell ref="I50:J50"/>
    <mergeCell ref="A45:H45"/>
    <mergeCell ref="A44:H44"/>
    <mergeCell ref="A54:H54"/>
    <mergeCell ref="A53:H53"/>
    <mergeCell ref="A52:H52"/>
    <mergeCell ref="A51:H51"/>
    <mergeCell ref="K51:N51"/>
    <mergeCell ref="K52:N52"/>
    <mergeCell ref="K53:N53"/>
    <mergeCell ref="K54:N54"/>
    <mergeCell ref="K44:N44"/>
    <mergeCell ref="K45:N45"/>
    <mergeCell ref="K46:N46"/>
    <mergeCell ref="K47:N47"/>
    <mergeCell ref="K48:N48"/>
    <mergeCell ref="K49:N49"/>
    <mergeCell ref="A40:H40"/>
    <mergeCell ref="AD40:AF40"/>
    <mergeCell ref="AA40:AC40"/>
    <mergeCell ref="X40:Z40"/>
    <mergeCell ref="U40:W40"/>
    <mergeCell ref="R40:T40"/>
    <mergeCell ref="O40:Q40"/>
    <mergeCell ref="A50:H50"/>
    <mergeCell ref="A49:H49"/>
    <mergeCell ref="A48:H48"/>
    <mergeCell ref="A47:H47"/>
    <mergeCell ref="A46:H46"/>
    <mergeCell ref="K50:N50"/>
    <mergeCell ref="I43:J43"/>
    <mergeCell ref="I42:J42"/>
    <mergeCell ref="I41:J41"/>
    <mergeCell ref="I40:J40"/>
    <mergeCell ref="K40:N40"/>
    <mergeCell ref="K41:N41"/>
    <mergeCell ref="K42:N42"/>
    <mergeCell ref="K43:N43"/>
    <mergeCell ref="I49:J49"/>
    <mergeCell ref="I48:J48"/>
    <mergeCell ref="I47:J47"/>
    <mergeCell ref="O41:Q41"/>
    <mergeCell ref="R41:T41"/>
    <mergeCell ref="U41:W41"/>
    <mergeCell ref="X41:Z41"/>
    <mergeCell ref="AA41:AC41"/>
    <mergeCell ref="AD41:AF41"/>
    <mergeCell ref="A43:H43"/>
    <mergeCell ref="A42:H42"/>
    <mergeCell ref="A41:H41"/>
    <mergeCell ref="O43:Q43"/>
    <mergeCell ref="R43:T43"/>
    <mergeCell ref="U43:W43"/>
    <mergeCell ref="X43:Z43"/>
    <mergeCell ref="AA43:AC43"/>
    <mergeCell ref="AD43:AF43"/>
    <mergeCell ref="O42:Q42"/>
    <mergeCell ref="R42:T42"/>
    <mergeCell ref="U42:W42"/>
    <mergeCell ref="X42:Z42"/>
    <mergeCell ref="AA42:AC42"/>
    <mergeCell ref="AD42:AF42"/>
    <mergeCell ref="O46:Q46"/>
    <mergeCell ref="R46:AF46"/>
    <mergeCell ref="O45:Q45"/>
    <mergeCell ref="R45:T45"/>
    <mergeCell ref="U45:W45"/>
    <mergeCell ref="X45:Z45"/>
    <mergeCell ref="AA45:AC45"/>
    <mergeCell ref="AD45:AF45"/>
    <mergeCell ref="O44:Q44"/>
    <mergeCell ref="R44:T44"/>
    <mergeCell ref="U44:W44"/>
    <mergeCell ref="X44:Z44"/>
    <mergeCell ref="AA44:AC44"/>
    <mergeCell ref="AD44:AF44"/>
    <mergeCell ref="O48:Q48"/>
    <mergeCell ref="R48:T48"/>
    <mergeCell ref="U48:W48"/>
    <mergeCell ref="X48:Z48"/>
    <mergeCell ref="AA48:AC48"/>
    <mergeCell ref="AD48:AF48"/>
    <mergeCell ref="O47:Q47"/>
    <mergeCell ref="R47:T47"/>
    <mergeCell ref="U47:W47"/>
    <mergeCell ref="X47:Z47"/>
    <mergeCell ref="AA47:AC47"/>
    <mergeCell ref="AD47:AF47"/>
    <mergeCell ref="O50:Q50"/>
    <mergeCell ref="R50:T50"/>
    <mergeCell ref="U50:W50"/>
    <mergeCell ref="X50:Z50"/>
    <mergeCell ref="AA50:AC50"/>
    <mergeCell ref="AD50:AF50"/>
    <mergeCell ref="O49:Q49"/>
    <mergeCell ref="R49:T49"/>
    <mergeCell ref="U49:W49"/>
    <mergeCell ref="X49:Z49"/>
    <mergeCell ref="AA49:AC49"/>
    <mergeCell ref="AD49:AF49"/>
    <mergeCell ref="O52:Q52"/>
    <mergeCell ref="R52:T52"/>
    <mergeCell ref="U52:W52"/>
    <mergeCell ref="X52:Z52"/>
    <mergeCell ref="AA52:AC52"/>
    <mergeCell ref="AD52:AF52"/>
    <mergeCell ref="O51:Q51"/>
    <mergeCell ref="R51:T51"/>
    <mergeCell ref="U51:W51"/>
    <mergeCell ref="X51:Z51"/>
    <mergeCell ref="AA51:AC51"/>
    <mergeCell ref="AD51:AF51"/>
    <mergeCell ref="C56:AF58"/>
    <mergeCell ref="O54:Q54"/>
    <mergeCell ref="R54:T54"/>
    <mergeCell ref="U54:W54"/>
    <mergeCell ref="X54:Z54"/>
    <mergeCell ref="AA54:AC54"/>
    <mergeCell ref="AD54:AF54"/>
    <mergeCell ref="O53:Q53"/>
    <mergeCell ref="R53:T53"/>
    <mergeCell ref="U53:W53"/>
    <mergeCell ref="X53:Z53"/>
    <mergeCell ref="AA53:AC53"/>
    <mergeCell ref="AD53:AF53"/>
  </mergeCells>
  <conditionalFormatting sqref="T36:V37">
    <cfRule type="cellIs" dxfId="4" priority="1" operator="equal">
      <formula>0</formula>
    </cfRule>
  </conditionalFormatting>
  <dataValidations count="5">
    <dataValidation type="list" allowBlank="1" showInputMessage="1" showErrorMessage="1" sqref="F11">
      <formula1>"A &amp; B, C &amp; D, E &amp; F, G, H &amp; I"</formula1>
    </dataValidation>
    <dataValidation type="list" allowBlank="1" showInputMessage="1" showErrorMessage="1" sqref="H32:I32">
      <formula1>"TR 418-A, TR 415-A, TR 418-C, TR 418-E, TR 418-H"</formula1>
    </dataValidation>
    <dataValidation type="list" allowBlank="1" showInputMessage="1" showErrorMessage="1" sqref="J33:K33">
      <formula1>"TR 432-A, TR 432-B, TR 416, specified"</formula1>
    </dataValidation>
    <dataValidation type="list" allowBlank="1" showInputMessage="1" showErrorMessage="1" sqref="G34:H34">
      <formula1>"chart, formula"</formula1>
    </dataValidation>
    <dataValidation type="list" allowBlank="1" showInputMessage="1" showErrorMessage="1" sqref="L35:N35">
      <formula1>"Shell, Sand-Shell"</formula1>
    </dataValidation>
  </dataValidations>
  <pageMargins left="0.25" right="0.25" top="0.75" bottom="0.75" header="0.3" footer="0.3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B1:AA200"/>
  <sheetViews>
    <sheetView workbookViewId="0">
      <selection activeCell="J15" sqref="J15"/>
    </sheetView>
  </sheetViews>
  <sheetFormatPr defaultRowHeight="12.75" x14ac:dyDescent="0.2"/>
  <sheetData>
    <row r="1" spans="2:27" x14ac:dyDescent="0.2">
      <c r="P1" s="212" t="s">
        <v>571</v>
      </c>
      <c r="Q1" s="212" t="s">
        <v>589</v>
      </c>
      <c r="S1" s="212" t="s">
        <v>571</v>
      </c>
      <c r="X1" s="212" t="s">
        <v>571</v>
      </c>
      <c r="Y1" s="212" t="s">
        <v>589</v>
      </c>
      <c r="AA1" s="212" t="s">
        <v>571</v>
      </c>
    </row>
    <row r="2" spans="2:27" x14ac:dyDescent="0.2">
      <c r="B2" s="212" t="s">
        <v>573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J2" s="212" t="s">
        <v>571</v>
      </c>
      <c r="P2">
        <f ca="1">COUNTIF(P4:P200,"&gt;0")</f>
        <v>10</v>
      </c>
      <c r="Q2">
        <f ca="1">MAX(Q4:Q200)</f>
        <v>52</v>
      </c>
      <c r="S2">
        <f ca="1">IF(COUNTIF(S4:S200,"&gt;0")=0,1,COUNTIF(S4:S200,"&gt;0"))</f>
        <v>82</v>
      </c>
      <c r="X2">
        <f ca="1">COUNTIF(X4:X200,"&gt;0")</f>
        <v>10</v>
      </c>
      <c r="Y2">
        <f ca="1">MAX(Y4:Y200)</f>
        <v>52</v>
      </c>
      <c r="AA2">
        <f ca="1">IF(COUNTIF(AA4:AA200,"&gt;0")=0,1,COUNTIF(AA4:AA200,"&gt;0"))</f>
        <v>82</v>
      </c>
    </row>
    <row r="3" spans="2:27" x14ac:dyDescent="0.2">
      <c r="B3" s="212" t="s">
        <v>310</v>
      </c>
      <c r="C3">
        <f>IF('Density &amp; Moisture TR418'!O53&lt;&gt;"",'Density &amp; Moisture TR418'!O53,0)</f>
        <v>10.8</v>
      </c>
      <c r="D3">
        <f>IF('Density &amp; Moisture TR418'!R53&lt;&gt;"",'Density &amp; Moisture TR418'!R53,0)</f>
        <v>12.8</v>
      </c>
      <c r="E3">
        <f>IF('Density &amp; Moisture TR418'!U53&lt;&gt;"",'Density &amp; Moisture TR418'!U53,0)</f>
        <v>15.2</v>
      </c>
      <c r="F3">
        <f>IF('Density &amp; Moisture TR418'!X53&lt;&gt;"",'Density &amp; Moisture TR418'!X53,0)</f>
        <v>16.8</v>
      </c>
      <c r="G3">
        <f>IF('Density &amp; Moisture TR418'!AA53&lt;&gt;"",'Density &amp; Moisture TR418'!AA53,0)</f>
        <v>18.8</v>
      </c>
      <c r="H3">
        <f>IF('Density &amp; Moisture TR418'!AD53&lt;&gt;"",'Density &amp; Moisture TR418'!AD53,0)</f>
        <v>0</v>
      </c>
      <c r="J3">
        <f>IF(COUNTIF(C3:H3,"&gt;0")=0,1,COUNTIF(C3:H3,"&gt;0"))</f>
        <v>5</v>
      </c>
      <c r="N3" s="212" t="s">
        <v>577</v>
      </c>
      <c r="O3" s="212" t="s">
        <v>578</v>
      </c>
      <c r="P3" s="212" t="s">
        <v>586</v>
      </c>
      <c r="Q3" s="212"/>
      <c r="R3" s="212" t="s">
        <v>588</v>
      </c>
      <c r="S3" s="212" t="s">
        <v>590</v>
      </c>
      <c r="V3" s="212" t="s">
        <v>579</v>
      </c>
      <c r="W3" s="212" t="s">
        <v>580</v>
      </c>
      <c r="X3" s="212" t="s">
        <v>595</v>
      </c>
      <c r="Y3" s="212"/>
      <c r="Z3" s="212" t="s">
        <v>596</v>
      </c>
      <c r="AA3" s="212" t="s">
        <v>597</v>
      </c>
    </row>
    <row r="4" spans="2:27" x14ac:dyDescent="0.2">
      <c r="B4" s="212" t="s">
        <v>478</v>
      </c>
      <c r="C4">
        <f>IF('Density &amp; Moisture TR418'!O52&lt;&gt;"",'Density &amp; Moisture TR418'!O52,0)</f>
        <v>117</v>
      </c>
      <c r="D4">
        <f>IF('Density &amp; Moisture TR418'!R52&lt;&gt;"",'Density &amp; Moisture TR418'!R52,0)</f>
        <v>120.9</v>
      </c>
      <c r="E4">
        <f>IF('Density &amp; Moisture TR418'!U52&lt;&gt;"",'Density &amp; Moisture TR418'!U52,0)</f>
        <v>126</v>
      </c>
      <c r="F4">
        <f>IF('Density &amp; Moisture TR418'!X52&lt;&gt;"",'Density &amp; Moisture TR418'!X52,0)</f>
        <v>126.6</v>
      </c>
      <c r="G4">
        <f>IF('Density &amp; Moisture TR418'!AA52&lt;&gt;"",'Density &amp; Moisture TR418'!AA52,0)</f>
        <v>123.3</v>
      </c>
      <c r="H4">
        <f>IF('Density &amp; Moisture TR418'!AD52&lt;&gt;"",'Density &amp; Moisture TR418'!AD52,0)</f>
        <v>0</v>
      </c>
      <c r="M4">
        <f>C8</f>
        <v>10.8</v>
      </c>
      <c r="N4">
        <f ca="1">IF(AND(M4&gt;0,M4&lt;=INDIRECT(ADDRESS(8,3+$J$18-1))+2),$C$27*M4*M4+$D$27*M4+$E$27,0)</f>
        <v>117</v>
      </c>
      <c r="O4">
        <f ca="1">IF(AND(M4&gt;0,M4&gt;=INDIRECT(ADDRESS(8,3+$J$18))-2),$C$28*M4*M4+$D$28*M4+$E$28,0)</f>
        <v>0</v>
      </c>
      <c r="P4">
        <f ca="1">IF(AND(M4&gt;=$K$27-0.5, M4&lt;=$K$27+0.5),IF(AND(M4&lt;=$K$27,M4&gt;0),N4,O4),0)</f>
        <v>0</v>
      </c>
      <c r="Q4">
        <f ca="1">IF(P4&lt;0,P4,0)</f>
        <v>0</v>
      </c>
      <c r="R4">
        <f ca="1">IF(P4&gt;0,$C$31*M4^6+$D$31*M4^5+$E$31*M4^4+$F$31*M4^3+$G$31*M4^2+$H$31*M4+$I$31,0)</f>
        <v>0</v>
      </c>
      <c r="S4">
        <f ca="1">IF(M4&gt;0,IF(R4&gt;0,R4,IF(M4&lt;=$K$27,N4,O4)),0)</f>
        <v>117</v>
      </c>
      <c r="U4">
        <f>C8</f>
        <v>10.8</v>
      </c>
      <c r="V4">
        <f ca="1">IF(AND(U4&gt;0,U4&lt;=INDIRECT(ADDRESS(8,3+$J$22-1))+2),$C$35*U4*U4+$D$35*U4+$E$35,0)</f>
        <v>105.60000000000001</v>
      </c>
      <c r="W4">
        <f ca="1">IF(AND(U4&gt;0,U4&gt;=INDIRECT(ADDRESS(8,3+$J$22))-2),$C$36*U4*U4+$D$36*U4+$E$36,0)</f>
        <v>0</v>
      </c>
      <c r="X4">
        <f t="shared" ref="X4:X51" ca="1" si="0">IF(AND(U4&gt;=$K$35-0.5, U4&lt;=$K$35+0.5),IF(AND(U4&lt;=$K$35,U4&gt;0),V4,W4),0)</f>
        <v>0</v>
      </c>
      <c r="Y4">
        <f ca="1">IF(X4&lt;0,X4,0)</f>
        <v>0</v>
      </c>
      <c r="Z4">
        <f ca="1">IF(X4&gt;0,$C$39*U4^6+$D$39*U4^5+$E$39*U4^4+$F$39*U4^3+$G$39*U4^2+$H$39*U4+$I$39,0)</f>
        <v>0</v>
      </c>
      <c r="AA4">
        <f ca="1">IF(U4&gt;0,IF(Z4&gt;0,Z4,IF(U4&lt;=$K$35,V4,W4)),0)</f>
        <v>105.60000000000001</v>
      </c>
    </row>
    <row r="5" spans="2:27" x14ac:dyDescent="0.2">
      <c r="B5" s="212" t="s">
        <v>476</v>
      </c>
      <c r="C5">
        <f>IF('Density &amp; Moisture TR418'!O54&lt;&gt;"",'Density &amp; Moisture TR418'!O54,0)</f>
        <v>105.6</v>
      </c>
      <c r="D5">
        <f>IF('Density &amp; Moisture TR418'!R54&lt;&gt;"",'Density &amp; Moisture TR418'!R54,0)</f>
        <v>107.2</v>
      </c>
      <c r="E5">
        <f>IF('Density &amp; Moisture TR418'!U54&lt;&gt;"",'Density &amp; Moisture TR418'!U54,0)</f>
        <v>109.4</v>
      </c>
      <c r="F5">
        <f>IF('Density &amp; Moisture TR418'!X54&lt;&gt;"",'Density &amp; Moisture TR418'!X54,0)</f>
        <v>108.4</v>
      </c>
      <c r="G5">
        <f>IF('Density &amp; Moisture TR418'!AA54&lt;&gt;"",'Density &amp; Moisture TR418'!AA54,0)</f>
        <v>103.8</v>
      </c>
      <c r="H5">
        <f>IF('Density &amp; Moisture TR418'!AD54&lt;&gt;"",'Density &amp; Moisture TR418'!AD54,0)</f>
        <v>0</v>
      </c>
      <c r="M5">
        <f>IF(AND(M4&gt;0,M4&lt;=MAX($C$8:$H$8)),M4+0.1,0)</f>
        <v>10.9</v>
      </c>
      <c r="N5">
        <f t="shared" ref="N5:N68" ca="1" si="1">IF(AND(M5&gt;0,M5&lt;=INDIRECT(ADDRESS(8,3+$J$18-1))+2),$C$27*M5*M5+$D$27*M5+$E$27,0)</f>
        <v>117.18744318181818</v>
      </c>
      <c r="O5">
        <f t="shared" ref="O5:O68" ca="1" si="2">IF(AND(M5&gt;0,M5&gt;=INDIRECT(ADDRESS(8,3+$J$18))-2),$C$28*M5*M5+$D$28*M5+$E$28,0)</f>
        <v>0</v>
      </c>
      <c r="P5">
        <f t="shared" ref="P5:P68" ca="1" si="3">IF(AND(M5&gt;=$K$27-0.5, M5&lt;=$K$27+0.5),IF(AND(M5&lt;=$K$27,M5&gt;0),N5,O5),0)</f>
        <v>0</v>
      </c>
      <c r="Q5">
        <f ca="1">IF(AND(P5&gt;0,SUM($Q$4:Q4)=0),ROW(),0)</f>
        <v>0</v>
      </c>
      <c r="R5">
        <f t="shared" ref="R5:R68" ca="1" si="4">IF(P5&gt;0,$C$31*M5^6+$D$31*M5^5+$E$31*M5^4+$F$31*M5^3+$G$31*M5^2+$H$31*M5+$I$31,0)</f>
        <v>0</v>
      </c>
      <c r="S5">
        <f t="shared" ref="S5:S68" ca="1" si="5">IF(M5&gt;0,IF(R5&gt;0,R5,IF(M5&lt;=$K$27,N5,O5)),0)</f>
        <v>117.18744318181818</v>
      </c>
      <c r="U5">
        <f>IF(AND(U4&gt;0,U4&lt;=MAX($C$8:$H$8)),U4+0.1,0)</f>
        <v>10.9</v>
      </c>
      <c r="V5">
        <f t="shared" ref="V5:V68" ca="1" si="6">IF(AND(U5&gt;0,U5&lt;=INDIRECT(ADDRESS(8,3+$J$22-1))+2),$C$35*U5*U5+$D$35*U5+$E$35,0)</f>
        <v>105.67496212121213</v>
      </c>
      <c r="W5">
        <f t="shared" ref="W5:W68" ca="1" si="7">IF(AND(U5&gt;0,U5&gt;=INDIRECT(ADDRESS(8,3+$J$22))-2),$C$36*U5*U5+$D$36*U5+$E$36,0)</f>
        <v>0</v>
      </c>
      <c r="X5">
        <f t="shared" ca="1" si="0"/>
        <v>0</v>
      </c>
      <c r="Y5">
        <f ca="1">IF(AND(X5&gt;0,SUM($Y$4:Y4)=0),ROW(),0)</f>
        <v>0</v>
      </c>
      <c r="Z5">
        <f t="shared" ref="Z5:Z68" ca="1" si="8">IF(X5&gt;0,$C$39*U5^6+$D$39*U5^5+$E$39*U5^4+$F$39*U5^3+$G$39*U5^2+$H$39*U5+$I$39,0)</f>
        <v>0</v>
      </c>
      <c r="AA5">
        <f t="shared" ref="AA5:AA68" ca="1" si="9">IF(U5&gt;0,IF(Z5&gt;0,Z5,IF(U5&lt;=$K$35,V5,W5)),0)</f>
        <v>105.67496212121213</v>
      </c>
    </row>
    <row r="6" spans="2:27" x14ac:dyDescent="0.2">
      <c r="M6">
        <f t="shared" ref="M6:M69" si="10">IF(AND(M5&gt;0,M5&lt;=MAX($C$8:$H$8)),M5+0.1,0)</f>
        <v>11</v>
      </c>
      <c r="N6">
        <f t="shared" ca="1" si="1"/>
        <v>117.37568181818182</v>
      </c>
      <c r="O6">
        <f t="shared" ca="1" si="2"/>
        <v>0</v>
      </c>
      <c r="P6">
        <f t="shared" ca="1" si="3"/>
        <v>0</v>
      </c>
      <c r="Q6">
        <f ca="1">IF(AND(P6&gt;0,SUM($Q$4:Q5)=0),ROW(),0)</f>
        <v>0</v>
      </c>
      <c r="R6">
        <f t="shared" ca="1" si="4"/>
        <v>0</v>
      </c>
      <c r="S6">
        <f t="shared" ca="1" si="5"/>
        <v>117.37568181818182</v>
      </c>
      <c r="U6">
        <f t="shared" ref="U6:U8" si="11">IF(AND(U5&gt;0,U5&lt;=MAX($C$8:$H$8)),U5+0.1,0)</f>
        <v>11</v>
      </c>
      <c r="V6">
        <f t="shared" ca="1" si="6"/>
        <v>105.75045454545456</v>
      </c>
      <c r="W6">
        <f t="shared" ca="1" si="7"/>
        <v>0</v>
      </c>
      <c r="X6">
        <f t="shared" ca="1" si="0"/>
        <v>0</v>
      </c>
      <c r="Y6">
        <f ca="1">IF(AND(X6&gt;0,SUM($Y$4:Y5)=0),ROW(),0)</f>
        <v>0</v>
      </c>
      <c r="Z6">
        <f t="shared" ca="1" si="8"/>
        <v>0</v>
      </c>
      <c r="AA6">
        <f t="shared" ca="1" si="9"/>
        <v>105.75045454545456</v>
      </c>
    </row>
    <row r="7" spans="2:27" x14ac:dyDescent="0.2">
      <c r="B7" s="212" t="s">
        <v>574</v>
      </c>
      <c r="C7">
        <v>1</v>
      </c>
      <c r="D7">
        <v>2</v>
      </c>
      <c r="E7">
        <v>3</v>
      </c>
      <c r="F7">
        <v>4</v>
      </c>
      <c r="G7">
        <v>5</v>
      </c>
      <c r="H7">
        <v>6</v>
      </c>
      <c r="M7">
        <f t="shared" si="10"/>
        <v>11.1</v>
      </c>
      <c r="N7">
        <f t="shared" ca="1" si="1"/>
        <v>117.56471590909091</v>
      </c>
      <c r="O7">
        <f t="shared" ca="1" si="2"/>
        <v>0</v>
      </c>
      <c r="P7">
        <f t="shared" ca="1" si="3"/>
        <v>0</v>
      </c>
      <c r="Q7">
        <f ca="1">IF(AND(P7&gt;0,SUM($Q$4:Q6)=0),ROW(),0)</f>
        <v>0</v>
      </c>
      <c r="R7">
        <f t="shared" ca="1" si="4"/>
        <v>0</v>
      </c>
      <c r="S7">
        <f t="shared" ca="1" si="5"/>
        <v>117.56471590909091</v>
      </c>
      <c r="U7">
        <f t="shared" si="11"/>
        <v>11.1</v>
      </c>
      <c r="V7">
        <f t="shared" ca="1" si="6"/>
        <v>105.82647727272729</v>
      </c>
      <c r="W7">
        <f t="shared" ca="1" si="7"/>
        <v>0</v>
      </c>
      <c r="X7">
        <f t="shared" ca="1" si="0"/>
        <v>0</v>
      </c>
      <c r="Y7">
        <f ca="1">IF(AND(X7&gt;0,SUM($Y$4:Y6)=0),ROW(),0)</f>
        <v>0</v>
      </c>
      <c r="Z7">
        <f t="shared" ca="1" si="8"/>
        <v>0</v>
      </c>
      <c r="AA7">
        <f t="shared" ca="1" si="9"/>
        <v>105.82647727272729</v>
      </c>
    </row>
    <row r="8" spans="2:27" x14ac:dyDescent="0.2">
      <c r="B8" s="212" t="s">
        <v>310</v>
      </c>
      <c r="C8">
        <f t="shared" ref="C8:G8" si="12">IF(C7&lt;=$J$3,SMALL($C$3:$H$3,6-$J$3+C7),0)</f>
        <v>10.8</v>
      </c>
      <c r="D8">
        <f t="shared" si="12"/>
        <v>12.8</v>
      </c>
      <c r="E8">
        <f t="shared" si="12"/>
        <v>15.2</v>
      </c>
      <c r="F8">
        <f t="shared" si="12"/>
        <v>16.8</v>
      </c>
      <c r="G8">
        <f t="shared" si="12"/>
        <v>18.8</v>
      </c>
      <c r="H8">
        <f>IF(H7&lt;=$J$3,SMALL($C$3:$H$3,6-$J$3+H7),0)</f>
        <v>0</v>
      </c>
      <c r="M8">
        <f t="shared" si="10"/>
        <v>11.2</v>
      </c>
      <c r="N8">
        <f t="shared" ca="1" si="1"/>
        <v>117.75454545454545</v>
      </c>
      <c r="O8">
        <f t="shared" ca="1" si="2"/>
        <v>0</v>
      </c>
      <c r="P8">
        <f t="shared" ca="1" si="3"/>
        <v>0</v>
      </c>
      <c r="Q8">
        <f ca="1">IF(AND(P8&gt;0,SUM($Q$4:Q7)=0),ROW(),0)</f>
        <v>0</v>
      </c>
      <c r="R8">
        <f t="shared" ca="1" si="4"/>
        <v>0</v>
      </c>
      <c r="S8">
        <f t="shared" ca="1" si="5"/>
        <v>117.75454545454545</v>
      </c>
      <c r="U8">
        <f t="shared" si="11"/>
        <v>11.2</v>
      </c>
      <c r="V8">
        <f t="shared" ca="1" si="6"/>
        <v>105.90303030303032</v>
      </c>
      <c r="W8">
        <f t="shared" ca="1" si="7"/>
        <v>0</v>
      </c>
      <c r="X8">
        <f t="shared" ca="1" si="0"/>
        <v>0</v>
      </c>
      <c r="Y8">
        <f ca="1">IF(AND(X8&gt;0,SUM($Y$4:Y7)=0),ROW(),0)</f>
        <v>0</v>
      </c>
      <c r="Z8">
        <f t="shared" ca="1" si="8"/>
        <v>0</v>
      </c>
      <c r="AA8">
        <f t="shared" ca="1" si="9"/>
        <v>105.90303030303032</v>
      </c>
    </row>
    <row r="9" spans="2:27" x14ac:dyDescent="0.2">
      <c r="B9" s="212" t="s">
        <v>478</v>
      </c>
      <c r="C9">
        <f>IF(C8&gt;0,HLOOKUP(C8,$C$3:$G$5,2,FALSE),0)</f>
        <v>117</v>
      </c>
      <c r="D9">
        <f t="shared" ref="D9:G9" si="13">IF(D8&gt;0,HLOOKUP(D8,$C$3:$G$5,2,FALSE),0)</f>
        <v>120.9</v>
      </c>
      <c r="E9">
        <f t="shared" si="13"/>
        <v>126</v>
      </c>
      <c r="F9">
        <f t="shared" si="13"/>
        <v>126.6</v>
      </c>
      <c r="G9">
        <f t="shared" si="13"/>
        <v>123.3</v>
      </c>
      <c r="H9">
        <f>IF(H8&gt;0,HLOOKUP(H8,$C$3:$H$5,2,FALSE),0)</f>
        <v>0</v>
      </c>
      <c r="M9">
        <f t="shared" si="10"/>
        <v>11.299999999999999</v>
      </c>
      <c r="N9">
        <f t="shared" ca="1" si="1"/>
        <v>117.94517045454546</v>
      </c>
      <c r="O9">
        <f t="shared" ca="1" si="2"/>
        <v>0</v>
      </c>
      <c r="P9">
        <f t="shared" ca="1" si="3"/>
        <v>0</v>
      </c>
      <c r="Q9">
        <f ca="1">IF(AND(P9&gt;0,SUM($Q$4:Q8)=0),ROW(),0)</f>
        <v>0</v>
      </c>
      <c r="R9">
        <f t="shared" ca="1" si="4"/>
        <v>0</v>
      </c>
      <c r="S9">
        <f t="shared" ca="1" si="5"/>
        <v>117.94517045454546</v>
      </c>
      <c r="U9">
        <f t="shared" ref="U9:U72" si="14">IF(AND(U8&gt;0,U8&lt;=MAX($C$8:$H$8)),U8+0.1,0)</f>
        <v>11.299999999999999</v>
      </c>
      <c r="V9">
        <f t="shared" ca="1" si="6"/>
        <v>105.98011363636365</v>
      </c>
      <c r="W9">
        <f t="shared" ca="1" si="7"/>
        <v>0</v>
      </c>
      <c r="X9">
        <f t="shared" ca="1" si="0"/>
        <v>0</v>
      </c>
      <c r="Y9">
        <f ca="1">IF(AND(X9&gt;0,SUM($Y$4:Y8)=0),ROW(),0)</f>
        <v>0</v>
      </c>
      <c r="Z9">
        <f t="shared" ca="1" si="8"/>
        <v>0</v>
      </c>
      <c r="AA9">
        <f t="shared" ca="1" si="9"/>
        <v>105.98011363636365</v>
      </c>
    </row>
    <row r="10" spans="2:27" x14ac:dyDescent="0.2">
      <c r="B10" s="212" t="s">
        <v>476</v>
      </c>
      <c r="C10">
        <f>IF(C8&gt;0,HLOOKUP(C8,$C$3:$G$5,3,FALSE),0)</f>
        <v>105.6</v>
      </c>
      <c r="D10">
        <f t="shared" ref="D10:G10" si="15">IF(D8&gt;0,HLOOKUP(D8,$C$3:$G$5,3,FALSE),0)</f>
        <v>107.2</v>
      </c>
      <c r="E10">
        <f t="shared" si="15"/>
        <v>109.4</v>
      </c>
      <c r="F10">
        <f t="shared" si="15"/>
        <v>108.4</v>
      </c>
      <c r="G10">
        <f t="shared" si="15"/>
        <v>103.8</v>
      </c>
      <c r="H10">
        <f>IF(H8&gt;0,HLOOKUP(H8,$C$3:$H$5,3,FALSE),0)</f>
        <v>0</v>
      </c>
      <c r="M10">
        <f t="shared" si="10"/>
        <v>11.399999999999999</v>
      </c>
      <c r="N10">
        <f t="shared" ca="1" si="1"/>
        <v>118.13659090909091</v>
      </c>
      <c r="O10">
        <f t="shared" ca="1" si="2"/>
        <v>0</v>
      </c>
      <c r="P10">
        <f t="shared" ca="1" si="3"/>
        <v>0</v>
      </c>
      <c r="Q10">
        <f ca="1">IF(AND(P10&gt;0,SUM($Q$4:Q9)=0),ROW(),0)</f>
        <v>0</v>
      </c>
      <c r="R10">
        <f t="shared" ca="1" si="4"/>
        <v>0</v>
      </c>
      <c r="S10">
        <f t="shared" ca="1" si="5"/>
        <v>118.13659090909091</v>
      </c>
      <c r="U10">
        <f t="shared" si="14"/>
        <v>11.399999999999999</v>
      </c>
      <c r="V10">
        <f t="shared" ca="1" si="6"/>
        <v>106.05772727272729</v>
      </c>
      <c r="W10">
        <f t="shared" ca="1" si="7"/>
        <v>0</v>
      </c>
      <c r="X10">
        <f t="shared" ca="1" si="0"/>
        <v>0</v>
      </c>
      <c r="Y10">
        <f ca="1">IF(AND(X10&gt;0,SUM($Y$4:Y9)=0),ROW(),0)</f>
        <v>0</v>
      </c>
      <c r="Z10">
        <f t="shared" ca="1" si="8"/>
        <v>0</v>
      </c>
      <c r="AA10">
        <f t="shared" ca="1" si="9"/>
        <v>106.05772727272729</v>
      </c>
    </row>
    <row r="11" spans="2:27" x14ac:dyDescent="0.2">
      <c r="M11">
        <f t="shared" si="10"/>
        <v>11.499999999999998</v>
      </c>
      <c r="N11">
        <f t="shared" ca="1" si="1"/>
        <v>118.32880681818182</v>
      </c>
      <c r="O11">
        <f t="shared" ca="1" si="2"/>
        <v>0</v>
      </c>
      <c r="P11">
        <f t="shared" ca="1" si="3"/>
        <v>0</v>
      </c>
      <c r="Q11">
        <f ca="1">IF(AND(P11&gt;0,SUM($Q$4:Q10)=0),ROW(),0)</f>
        <v>0</v>
      </c>
      <c r="R11">
        <f t="shared" ca="1" si="4"/>
        <v>0</v>
      </c>
      <c r="S11">
        <f t="shared" ca="1" si="5"/>
        <v>118.32880681818182</v>
      </c>
      <c r="U11">
        <f t="shared" si="14"/>
        <v>11.499999999999998</v>
      </c>
      <c r="V11">
        <f t="shared" ca="1" si="6"/>
        <v>106.13587121212123</v>
      </c>
      <c r="W11">
        <f t="shared" ca="1" si="7"/>
        <v>0</v>
      </c>
      <c r="X11">
        <f t="shared" ca="1" si="0"/>
        <v>0</v>
      </c>
      <c r="Y11">
        <f ca="1">IF(AND(X11&gt;0,SUM($Y$4:Y10)=0),ROW(),0)</f>
        <v>0</v>
      </c>
      <c r="Z11">
        <f t="shared" ca="1" si="8"/>
        <v>0</v>
      </c>
      <c r="AA11">
        <f t="shared" ca="1" si="9"/>
        <v>106.13587121212123</v>
      </c>
    </row>
    <row r="12" spans="2:27" x14ac:dyDescent="0.2">
      <c r="B12" s="212" t="s">
        <v>583</v>
      </c>
      <c r="D12">
        <f>IF(D8&gt;0,SLOPE($C$9:D9,$C$8:D8),0)</f>
        <v>1.9500000000000028</v>
      </c>
      <c r="E12">
        <f>IF(E8&gt;0,SLOPE($C$9:E9,$C$8:E8),0)</f>
        <v>2.0480769230769238</v>
      </c>
      <c r="F12">
        <f>IF(F8&gt;0,SLOPE($C$9:F9,$C$8:F8),0)</f>
        <v>1.6849904397705535</v>
      </c>
      <c r="G12">
        <f>IF(G8&gt;0,SLOPE($C$9:G9,$C$8:G8),0)</f>
        <v>0.94437799043062098</v>
      </c>
      <c r="H12">
        <f>IF(H8&gt;0,SLOPE($C$9:H9,$C$8:H8),0)</f>
        <v>0</v>
      </c>
      <c r="M12">
        <f t="shared" si="10"/>
        <v>11.599999999999998</v>
      </c>
      <c r="N12">
        <f t="shared" ca="1" si="1"/>
        <v>118.52181818181819</v>
      </c>
      <c r="O12">
        <f t="shared" ca="1" si="2"/>
        <v>0</v>
      </c>
      <c r="P12">
        <f t="shared" ca="1" si="3"/>
        <v>0</v>
      </c>
      <c r="Q12">
        <f ca="1">IF(AND(P12&gt;0,SUM($Q$4:Q11)=0),ROW(),0)</f>
        <v>0</v>
      </c>
      <c r="R12">
        <f t="shared" ca="1" si="4"/>
        <v>0</v>
      </c>
      <c r="S12">
        <f t="shared" ca="1" si="5"/>
        <v>118.52181818181819</v>
      </c>
      <c r="U12">
        <f t="shared" si="14"/>
        <v>11.599999999999998</v>
      </c>
      <c r="V12">
        <f t="shared" ca="1" si="6"/>
        <v>106.21454545454547</v>
      </c>
      <c r="W12">
        <f t="shared" ca="1" si="7"/>
        <v>0</v>
      </c>
      <c r="X12">
        <f t="shared" ca="1" si="0"/>
        <v>0</v>
      </c>
      <c r="Y12">
        <f ca="1">IF(AND(X12&gt;0,SUM($Y$4:Y11)=0),ROW(),0)</f>
        <v>0</v>
      </c>
      <c r="Z12">
        <f t="shared" ca="1" si="8"/>
        <v>0</v>
      </c>
      <c r="AA12">
        <f t="shared" ca="1" si="9"/>
        <v>106.21454545454547</v>
      </c>
    </row>
    <row r="13" spans="2:27" x14ac:dyDescent="0.2">
      <c r="B13" s="212" t="s">
        <v>572</v>
      </c>
      <c r="C13">
        <v>0</v>
      </c>
      <c r="D13">
        <v>0</v>
      </c>
      <c r="E13">
        <f>IF(E8&gt;0,(E12-D12)/D12*100,0)</f>
        <v>5.0295857988164512</v>
      </c>
      <c r="F13">
        <f t="shared" ref="F13:G13" si="16">IF(F8&gt;0,(F12-E12)/E12*100,0)</f>
        <v>-17.728166321062204</v>
      </c>
      <c r="G13">
        <f t="shared" si="16"/>
        <v>-43.953510468628075</v>
      </c>
      <c r="H13">
        <f>IF(H8&gt;0,(H12-G12)/G12*100,0)</f>
        <v>0</v>
      </c>
      <c r="M13">
        <f t="shared" si="10"/>
        <v>11.699999999999998</v>
      </c>
      <c r="N13">
        <f t="shared" ca="1" si="1"/>
        <v>118.715625</v>
      </c>
      <c r="O13">
        <f t="shared" ca="1" si="2"/>
        <v>0</v>
      </c>
      <c r="P13">
        <f t="shared" ca="1" si="3"/>
        <v>0</v>
      </c>
      <c r="Q13">
        <f ca="1">IF(AND(P13&gt;0,SUM($Q$4:Q12)=0),ROW(),0)</f>
        <v>0</v>
      </c>
      <c r="R13">
        <f t="shared" ca="1" si="4"/>
        <v>0</v>
      </c>
      <c r="S13">
        <f t="shared" ca="1" si="5"/>
        <v>118.715625</v>
      </c>
      <c r="U13">
        <f t="shared" si="14"/>
        <v>11.699999999999998</v>
      </c>
      <c r="V13">
        <f t="shared" ca="1" si="6"/>
        <v>106.29375000000002</v>
      </c>
      <c r="W13">
        <f t="shared" ca="1" si="7"/>
        <v>0</v>
      </c>
      <c r="X13">
        <f t="shared" ca="1" si="0"/>
        <v>0</v>
      </c>
      <c r="Y13">
        <f ca="1">IF(AND(X13&gt;0,SUM($Y$4:Y12)=0),ROW(),0)</f>
        <v>0</v>
      </c>
      <c r="Z13">
        <f t="shared" ca="1" si="8"/>
        <v>0</v>
      </c>
      <c r="AA13">
        <f t="shared" ca="1" si="9"/>
        <v>106.29375000000002</v>
      </c>
    </row>
    <row r="14" spans="2:27" x14ac:dyDescent="0.2">
      <c r="M14">
        <f t="shared" si="10"/>
        <v>11.799999999999997</v>
      </c>
      <c r="N14">
        <f t="shared" ca="1" si="1"/>
        <v>118.91022727272727</v>
      </c>
      <c r="O14">
        <f t="shared" ca="1" si="2"/>
        <v>0</v>
      </c>
      <c r="P14">
        <f t="shared" ca="1" si="3"/>
        <v>0</v>
      </c>
      <c r="Q14">
        <f ca="1">IF(AND(P14&gt;0,SUM($Q$4:Q13)=0),ROW(),0)</f>
        <v>0</v>
      </c>
      <c r="R14">
        <f t="shared" ca="1" si="4"/>
        <v>0</v>
      </c>
      <c r="S14">
        <f t="shared" ca="1" si="5"/>
        <v>118.91022727272727</v>
      </c>
      <c r="U14">
        <f t="shared" si="14"/>
        <v>11.799999999999997</v>
      </c>
      <c r="V14">
        <f t="shared" ca="1" si="6"/>
        <v>106.37348484848486</v>
      </c>
      <c r="W14">
        <f t="shared" ca="1" si="7"/>
        <v>0</v>
      </c>
      <c r="X14">
        <f t="shared" ca="1" si="0"/>
        <v>0</v>
      </c>
      <c r="Y14">
        <f ca="1">IF(AND(X14&gt;0,SUM($Y$4:Y13)=0),ROW(),0)</f>
        <v>0</v>
      </c>
      <c r="Z14">
        <f t="shared" ca="1" si="8"/>
        <v>0</v>
      </c>
      <c r="AA14">
        <f t="shared" ca="1" si="9"/>
        <v>106.37348484848486</v>
      </c>
    </row>
    <row r="15" spans="2:27" x14ac:dyDescent="0.2">
      <c r="B15" s="212" t="s">
        <v>584</v>
      </c>
      <c r="D15">
        <f>IF(D8&gt;0,SLOPE($C$10:D10,$C$8:D8),0)</f>
        <v>0.80000000000000426</v>
      </c>
      <c r="E15">
        <f>IF(E8&gt;0,SLOPE($C$10:E10,$C$8:E8),0)</f>
        <v>0.86538461538461819</v>
      </c>
      <c r="F15">
        <f>IF(F8&gt;0,SLOPE($C$10:F10,$C$8:F8),0)</f>
        <v>0.54015296367112997</v>
      </c>
      <c r="G15">
        <f>IF(G8&gt;0,SLOPE($C$10:G10,$C$8:G8),0)</f>
        <v>-9.4497607655501983E-2</v>
      </c>
      <c r="H15">
        <f>IF(H8&gt;0,SLOPE($C$10:H10,$C$8:H8),0)</f>
        <v>0</v>
      </c>
      <c r="M15">
        <f t="shared" si="10"/>
        <v>11.899999999999997</v>
      </c>
      <c r="N15">
        <f t="shared" ca="1" si="1"/>
        <v>119.105625</v>
      </c>
      <c r="O15">
        <f t="shared" ca="1" si="2"/>
        <v>0</v>
      </c>
      <c r="P15">
        <f t="shared" ca="1" si="3"/>
        <v>0</v>
      </c>
      <c r="Q15">
        <f ca="1">IF(AND(P15&gt;0,SUM($Q$4:Q14)=0),ROW(),0)</f>
        <v>0</v>
      </c>
      <c r="R15">
        <f t="shared" ca="1" si="4"/>
        <v>0</v>
      </c>
      <c r="S15">
        <f t="shared" ca="1" si="5"/>
        <v>119.105625</v>
      </c>
      <c r="U15">
        <f t="shared" si="14"/>
        <v>11.899999999999997</v>
      </c>
      <c r="V15">
        <f t="shared" ca="1" si="6"/>
        <v>106.45375000000001</v>
      </c>
      <c r="W15">
        <f t="shared" ca="1" si="7"/>
        <v>0</v>
      </c>
      <c r="X15">
        <f t="shared" ca="1" si="0"/>
        <v>0</v>
      </c>
      <c r="Y15">
        <f ca="1">IF(AND(X15&gt;0,SUM($Y$4:Y14)=0),ROW(),0)</f>
        <v>0</v>
      </c>
      <c r="Z15">
        <f t="shared" ca="1" si="8"/>
        <v>0</v>
      </c>
      <c r="AA15">
        <f t="shared" ca="1" si="9"/>
        <v>106.45375000000001</v>
      </c>
    </row>
    <row r="16" spans="2:27" x14ac:dyDescent="0.2">
      <c r="B16" s="212" t="s">
        <v>572</v>
      </c>
      <c r="C16">
        <v>0</v>
      </c>
      <c r="D16">
        <v>0</v>
      </c>
      <c r="E16">
        <f>IF(E8&gt;0,(E15-D15)/D15*100,0)</f>
        <v>8.1730769230766978</v>
      </c>
      <c r="F16">
        <f t="shared" ref="F16:G16" si="17">IF(F8&gt;0,(F15-E15)/E15*100,0)</f>
        <v>-37.582324198002965</v>
      </c>
      <c r="G16">
        <f t="shared" si="17"/>
        <v>-117.49460134648757</v>
      </c>
      <c r="H16">
        <f>IF(H8&gt;0,(H15-G15)/G15*100,0)</f>
        <v>0</v>
      </c>
      <c r="M16">
        <f t="shared" si="10"/>
        <v>11.999999999999996</v>
      </c>
      <c r="N16">
        <f t="shared" ca="1" si="1"/>
        <v>119.30181818181818</v>
      </c>
      <c r="O16">
        <f t="shared" ca="1" si="2"/>
        <v>0</v>
      </c>
      <c r="P16">
        <f t="shared" ca="1" si="3"/>
        <v>0</v>
      </c>
      <c r="Q16">
        <f ca="1">IF(AND(P16&gt;0,SUM($Q$4:Q15)=0),ROW(),0)</f>
        <v>0</v>
      </c>
      <c r="R16">
        <f t="shared" ca="1" si="4"/>
        <v>0</v>
      </c>
      <c r="S16">
        <f t="shared" ca="1" si="5"/>
        <v>119.30181818181818</v>
      </c>
      <c r="U16">
        <f t="shared" si="14"/>
        <v>11.999999999999996</v>
      </c>
      <c r="V16">
        <f t="shared" ca="1" si="6"/>
        <v>106.53454545454547</v>
      </c>
      <c r="W16">
        <f t="shared" ca="1" si="7"/>
        <v>0</v>
      </c>
      <c r="X16">
        <f t="shared" ca="1" si="0"/>
        <v>0</v>
      </c>
      <c r="Y16">
        <f ca="1">IF(AND(X16&gt;0,SUM($Y$4:Y15)=0),ROW(),0)</f>
        <v>0</v>
      </c>
      <c r="Z16">
        <f t="shared" ca="1" si="8"/>
        <v>0</v>
      </c>
      <c r="AA16">
        <f t="shared" ca="1" si="9"/>
        <v>106.53454545454547</v>
      </c>
    </row>
    <row r="17" spans="2:27" x14ac:dyDescent="0.2">
      <c r="J17" s="212" t="s">
        <v>571</v>
      </c>
      <c r="M17">
        <f t="shared" si="10"/>
        <v>12.099999999999996</v>
      </c>
      <c r="N17">
        <f t="shared" ca="1" si="1"/>
        <v>119.49880681818182</v>
      </c>
      <c r="O17">
        <f t="shared" ca="1" si="2"/>
        <v>0</v>
      </c>
      <c r="P17">
        <f t="shared" ca="1" si="3"/>
        <v>0</v>
      </c>
      <c r="Q17">
        <f ca="1">IF(AND(P17&gt;0,SUM($Q$4:Q16)=0),ROW(),0)</f>
        <v>0</v>
      </c>
      <c r="R17">
        <f t="shared" ca="1" si="4"/>
        <v>0</v>
      </c>
      <c r="S17">
        <f t="shared" ca="1" si="5"/>
        <v>119.49880681818182</v>
      </c>
      <c r="U17">
        <f t="shared" si="14"/>
        <v>12.099999999999996</v>
      </c>
      <c r="V17">
        <f t="shared" ca="1" si="6"/>
        <v>106.61587121212122</v>
      </c>
      <c r="W17">
        <f t="shared" ca="1" si="7"/>
        <v>0</v>
      </c>
      <c r="X17">
        <f t="shared" ca="1" si="0"/>
        <v>0</v>
      </c>
      <c r="Y17">
        <f ca="1">IF(AND(X17&gt;0,SUM($Y$4:Y16)=0),ROW(),0)</f>
        <v>0</v>
      </c>
      <c r="Z17">
        <f t="shared" ca="1" si="8"/>
        <v>0</v>
      </c>
      <c r="AA17">
        <f t="shared" ca="1" si="9"/>
        <v>106.61587121212122</v>
      </c>
    </row>
    <row r="18" spans="2:27" x14ac:dyDescent="0.2">
      <c r="B18" s="212" t="s">
        <v>310</v>
      </c>
      <c r="C18" s="229" t="s">
        <v>577</v>
      </c>
      <c r="D18" s="229" t="s">
        <v>578</v>
      </c>
      <c r="E18" s="229" t="s">
        <v>581</v>
      </c>
      <c r="F18" s="229" t="s">
        <v>579</v>
      </c>
      <c r="G18" s="229" t="s">
        <v>580</v>
      </c>
      <c r="J18">
        <f>COUNTIF(C19:C24,"&gt;0")</f>
        <v>3</v>
      </c>
      <c r="M18">
        <f t="shared" si="10"/>
        <v>12.199999999999996</v>
      </c>
      <c r="N18">
        <f t="shared" ca="1" si="1"/>
        <v>119.6965909090909</v>
      </c>
      <c r="O18">
        <f t="shared" ca="1" si="2"/>
        <v>0</v>
      </c>
      <c r="P18">
        <f t="shared" ca="1" si="3"/>
        <v>0</v>
      </c>
      <c r="Q18">
        <f ca="1">IF(AND(P18&gt;0,SUM($Q$4:Q17)=0),ROW(),0)</f>
        <v>0</v>
      </c>
      <c r="R18">
        <f t="shared" ca="1" si="4"/>
        <v>0</v>
      </c>
      <c r="S18">
        <f t="shared" ca="1" si="5"/>
        <v>119.6965909090909</v>
      </c>
      <c r="U18">
        <f t="shared" si="14"/>
        <v>12.199999999999996</v>
      </c>
      <c r="V18">
        <f t="shared" ca="1" si="6"/>
        <v>106.69772727272729</v>
      </c>
      <c r="W18">
        <f t="shared" ca="1" si="7"/>
        <v>0</v>
      </c>
      <c r="X18">
        <f t="shared" ca="1" si="0"/>
        <v>0</v>
      </c>
      <c r="Y18">
        <f ca="1">IF(AND(X18&gt;0,SUM($Y$4:Y17)=0),ROW(),0)</f>
        <v>0</v>
      </c>
      <c r="Z18">
        <f t="shared" ca="1" si="8"/>
        <v>0</v>
      </c>
      <c r="AA18">
        <f t="shared" ca="1" si="9"/>
        <v>106.69772727272729</v>
      </c>
    </row>
    <row r="19" spans="2:27" x14ac:dyDescent="0.2">
      <c r="B19">
        <f>C3</f>
        <v>10.8</v>
      </c>
      <c r="C19">
        <f>IF(AND(C8&gt;0,C13&gt;-10),C9,0)</f>
        <v>117</v>
      </c>
      <c r="D19">
        <f>IF(AND(C8&gt;0,C13&lt;=-10),C9,0)</f>
        <v>0</v>
      </c>
      <c r="E19">
        <f>C8</f>
        <v>10.8</v>
      </c>
      <c r="F19">
        <f>IF(AND(C8&gt;0,C16&gt;-10),C10,0)</f>
        <v>105.6</v>
      </c>
      <c r="G19">
        <f>IF(AND(C8&gt;0,C16&lt;=-10),C10,0)</f>
        <v>0</v>
      </c>
      <c r="J19">
        <f>COUNTIF(D19:D24,"&gt;0")</f>
        <v>2</v>
      </c>
      <c r="M19">
        <f t="shared" si="10"/>
        <v>12.299999999999995</v>
      </c>
      <c r="N19">
        <f t="shared" ca="1" si="1"/>
        <v>119.89517045454545</v>
      </c>
      <c r="O19">
        <f t="shared" ca="1" si="2"/>
        <v>0</v>
      </c>
      <c r="P19">
        <f t="shared" ca="1" si="3"/>
        <v>0</v>
      </c>
      <c r="Q19">
        <f ca="1">IF(AND(P19&gt;0,SUM($Q$4:Q18)=0),ROW(),0)</f>
        <v>0</v>
      </c>
      <c r="R19">
        <f t="shared" ca="1" si="4"/>
        <v>0</v>
      </c>
      <c r="S19">
        <f t="shared" ca="1" si="5"/>
        <v>119.89517045454545</v>
      </c>
      <c r="U19">
        <f t="shared" si="14"/>
        <v>12.299999999999995</v>
      </c>
      <c r="V19">
        <f t="shared" ca="1" si="6"/>
        <v>106.78011363636365</v>
      </c>
      <c r="W19">
        <f t="shared" ca="1" si="7"/>
        <v>0</v>
      </c>
      <c r="X19">
        <f t="shared" ca="1" si="0"/>
        <v>0</v>
      </c>
      <c r="Y19">
        <f ca="1">IF(AND(X19&gt;0,SUM($Y$4:Y18)=0),ROW(),0)</f>
        <v>0</v>
      </c>
      <c r="Z19">
        <f t="shared" ca="1" si="8"/>
        <v>0</v>
      </c>
      <c r="AA19">
        <f t="shared" ca="1" si="9"/>
        <v>106.78011363636365</v>
      </c>
    </row>
    <row r="20" spans="2:27" x14ac:dyDescent="0.2">
      <c r="B20">
        <f>D3</f>
        <v>12.8</v>
      </c>
      <c r="C20">
        <f>IF(AND(D8&gt;0,D13&gt;-10),D9,0)</f>
        <v>120.9</v>
      </c>
      <c r="D20">
        <f>IF(AND(D8&gt;0,D13&lt;=-10),D9,0)</f>
        <v>0</v>
      </c>
      <c r="E20">
        <f>D8</f>
        <v>12.8</v>
      </c>
      <c r="F20">
        <f>IF(AND(D8&gt;0,D16&gt;-10),D10,0)</f>
        <v>107.2</v>
      </c>
      <c r="G20">
        <f>IF(AND(D8&gt;0,D16&lt;=-10),D10,0)</f>
        <v>0</v>
      </c>
      <c r="M20">
        <f t="shared" si="10"/>
        <v>12.399999999999995</v>
      </c>
      <c r="N20">
        <f t="shared" ca="1" si="1"/>
        <v>120.09454545454545</v>
      </c>
      <c r="O20">
        <f t="shared" ca="1" si="2"/>
        <v>0</v>
      </c>
      <c r="P20">
        <f t="shared" ca="1" si="3"/>
        <v>0</v>
      </c>
      <c r="Q20">
        <f ca="1">IF(AND(P20&gt;0,SUM($Q$4:Q19)=0),ROW(),0)</f>
        <v>0</v>
      </c>
      <c r="R20">
        <f t="shared" ca="1" si="4"/>
        <v>0</v>
      </c>
      <c r="S20">
        <f t="shared" ca="1" si="5"/>
        <v>120.09454545454545</v>
      </c>
      <c r="U20">
        <f t="shared" si="14"/>
        <v>12.399999999999995</v>
      </c>
      <c r="V20">
        <f t="shared" ca="1" si="6"/>
        <v>106.86303030303031</v>
      </c>
      <c r="W20">
        <f t="shared" ca="1" si="7"/>
        <v>0</v>
      </c>
      <c r="X20">
        <f t="shared" ca="1" si="0"/>
        <v>0</v>
      </c>
      <c r="Y20">
        <f ca="1">IF(AND(X20&gt;0,SUM($Y$4:Y19)=0),ROW(),0)</f>
        <v>0</v>
      </c>
      <c r="Z20">
        <f t="shared" ca="1" si="8"/>
        <v>0</v>
      </c>
      <c r="AA20">
        <f t="shared" ca="1" si="9"/>
        <v>106.86303030303031</v>
      </c>
    </row>
    <row r="21" spans="2:27" x14ac:dyDescent="0.2">
      <c r="B21">
        <f>E3</f>
        <v>15.2</v>
      </c>
      <c r="C21">
        <f>IF(AND(E8&gt;0,E13&gt;-10),E9,0)</f>
        <v>126</v>
      </c>
      <c r="D21">
        <f>IF(AND(E8&gt;0,E13&lt;=-10),E9,0)</f>
        <v>0</v>
      </c>
      <c r="E21">
        <f>E8</f>
        <v>15.2</v>
      </c>
      <c r="F21">
        <f>IF(AND(E8&gt;0,E16&gt;-10),E10,0)</f>
        <v>109.4</v>
      </c>
      <c r="G21">
        <f>IF(AND(E8&gt;0,E16&lt;=-10),E10,0)</f>
        <v>0</v>
      </c>
      <c r="J21" s="212" t="s">
        <v>571</v>
      </c>
      <c r="M21">
        <f t="shared" si="10"/>
        <v>12.499999999999995</v>
      </c>
      <c r="N21">
        <f t="shared" ca="1" si="1"/>
        <v>120.29471590909091</v>
      </c>
      <c r="O21">
        <f t="shared" ca="1" si="2"/>
        <v>0</v>
      </c>
      <c r="P21">
        <f t="shared" ca="1" si="3"/>
        <v>0</v>
      </c>
      <c r="Q21">
        <f ca="1">IF(AND(P21&gt;0,SUM($Q$4:Q20)=0),ROW(),0)</f>
        <v>0</v>
      </c>
      <c r="R21">
        <f t="shared" ca="1" si="4"/>
        <v>0</v>
      </c>
      <c r="S21">
        <f t="shared" ca="1" si="5"/>
        <v>120.29471590909091</v>
      </c>
      <c r="U21">
        <f t="shared" si="14"/>
        <v>12.499999999999995</v>
      </c>
      <c r="V21">
        <f t="shared" ca="1" si="6"/>
        <v>106.94647727272729</v>
      </c>
      <c r="W21">
        <f t="shared" ca="1" si="7"/>
        <v>0</v>
      </c>
      <c r="X21">
        <f t="shared" ca="1" si="0"/>
        <v>0</v>
      </c>
      <c r="Y21">
        <f ca="1">IF(AND(X21&gt;0,SUM($Y$4:Y20)=0),ROW(),0)</f>
        <v>0</v>
      </c>
      <c r="Z21">
        <f t="shared" ca="1" si="8"/>
        <v>0</v>
      </c>
      <c r="AA21">
        <f t="shared" ca="1" si="9"/>
        <v>106.94647727272729</v>
      </c>
    </row>
    <row r="22" spans="2:27" x14ac:dyDescent="0.2">
      <c r="B22">
        <f>F3</f>
        <v>16.8</v>
      </c>
      <c r="C22">
        <f>IF(AND(F8&gt;0,F13&gt;-10),F9,0)</f>
        <v>0</v>
      </c>
      <c r="D22">
        <f>IF(AND(F8&gt;0,F13&lt;=-10),F9,0)</f>
        <v>126.6</v>
      </c>
      <c r="E22">
        <f>F8</f>
        <v>16.8</v>
      </c>
      <c r="F22">
        <f>IF(AND(F8&gt;0,F16&gt;-10),F10,0)</f>
        <v>0</v>
      </c>
      <c r="G22">
        <f>IF(AND(F8&gt;0,F16&lt;=-10),F10,0)</f>
        <v>108.4</v>
      </c>
      <c r="J22">
        <f>COUNTIF(F19:F24,"&gt;0")</f>
        <v>3</v>
      </c>
      <c r="M22">
        <f t="shared" si="10"/>
        <v>12.599999999999994</v>
      </c>
      <c r="N22">
        <f t="shared" ca="1" si="1"/>
        <v>120.49568181818182</v>
      </c>
      <c r="O22">
        <f t="shared" ca="1" si="2"/>
        <v>0</v>
      </c>
      <c r="P22">
        <f t="shared" ca="1" si="3"/>
        <v>0</v>
      </c>
      <c r="Q22">
        <f ca="1">IF(AND(P22&gt;0,SUM($Q$4:Q21)=0),ROW(),0)</f>
        <v>0</v>
      </c>
      <c r="R22">
        <f t="shared" ca="1" si="4"/>
        <v>0</v>
      </c>
      <c r="S22">
        <f t="shared" ca="1" si="5"/>
        <v>120.49568181818182</v>
      </c>
      <c r="U22">
        <f t="shared" si="14"/>
        <v>12.599999999999994</v>
      </c>
      <c r="V22">
        <f t="shared" ca="1" si="6"/>
        <v>107.03045454545456</v>
      </c>
      <c r="W22">
        <f t="shared" ca="1" si="7"/>
        <v>0</v>
      </c>
      <c r="X22">
        <f t="shared" ca="1" si="0"/>
        <v>0</v>
      </c>
      <c r="Y22">
        <f ca="1">IF(AND(X22&gt;0,SUM($Y$4:Y21)=0),ROW(),0)</f>
        <v>0</v>
      </c>
      <c r="Z22">
        <f t="shared" ca="1" si="8"/>
        <v>0</v>
      </c>
      <c r="AA22">
        <f t="shared" ca="1" si="9"/>
        <v>107.03045454545456</v>
      </c>
    </row>
    <row r="23" spans="2:27" x14ac:dyDescent="0.2">
      <c r="B23">
        <f>G3</f>
        <v>18.8</v>
      </c>
      <c r="C23">
        <f>IF(AND(G8&gt;0,G13&gt;-10),G9,0)</f>
        <v>0</v>
      </c>
      <c r="D23">
        <f>IF(AND(G8&gt;0,G13&lt;=-10),G9,0)</f>
        <v>123.3</v>
      </c>
      <c r="E23">
        <f>G8</f>
        <v>18.8</v>
      </c>
      <c r="F23">
        <f>IF(AND(G8&gt;0,G16&gt;-10),G10,0)</f>
        <v>0</v>
      </c>
      <c r="G23">
        <f>IF(AND(G8&gt;0,G16&lt;=-10),G10,0)</f>
        <v>103.8</v>
      </c>
      <c r="J23">
        <f>COUNTIF(G19:G24,"&gt;0")</f>
        <v>2</v>
      </c>
      <c r="M23">
        <f t="shared" si="10"/>
        <v>12.699999999999994</v>
      </c>
      <c r="N23">
        <f t="shared" ca="1" si="1"/>
        <v>120.69744318181817</v>
      </c>
      <c r="O23">
        <f t="shared" ca="1" si="2"/>
        <v>0</v>
      </c>
      <c r="P23">
        <f t="shared" ca="1" si="3"/>
        <v>0</v>
      </c>
      <c r="Q23">
        <f ca="1">IF(AND(P23&gt;0,SUM($Q$4:Q22)=0),ROW(),0)</f>
        <v>0</v>
      </c>
      <c r="R23">
        <f t="shared" ca="1" si="4"/>
        <v>0</v>
      </c>
      <c r="S23">
        <f t="shared" ca="1" si="5"/>
        <v>120.69744318181817</v>
      </c>
      <c r="U23">
        <f t="shared" si="14"/>
        <v>12.699999999999994</v>
      </c>
      <c r="V23">
        <f t="shared" ca="1" si="6"/>
        <v>107.11496212121213</v>
      </c>
      <c r="W23">
        <f t="shared" ca="1" si="7"/>
        <v>0</v>
      </c>
      <c r="X23">
        <f t="shared" ca="1" si="0"/>
        <v>0</v>
      </c>
      <c r="Y23">
        <f ca="1">IF(AND(X23&gt;0,SUM($Y$4:Y22)=0),ROW(),0)</f>
        <v>0</v>
      </c>
      <c r="Z23">
        <f t="shared" ca="1" si="8"/>
        <v>0</v>
      </c>
      <c r="AA23">
        <f t="shared" ca="1" si="9"/>
        <v>107.11496212121213</v>
      </c>
    </row>
    <row r="24" spans="2:27" x14ac:dyDescent="0.2">
      <c r="B24">
        <f>H3</f>
        <v>0</v>
      </c>
      <c r="C24">
        <f>IF(AND(H8&gt;0,H13&gt;-10),H9,0)</f>
        <v>0</v>
      </c>
      <c r="D24">
        <f>IF(AND(H8&gt;0,H13&lt;=-10),H9,0)</f>
        <v>0</v>
      </c>
      <c r="E24">
        <f>H8</f>
        <v>0</v>
      </c>
      <c r="F24">
        <f>IF(AND(H8&gt;0,H16&gt;-10),H10,0)</f>
        <v>0</v>
      </c>
      <c r="G24">
        <f>IF(AND(H8&gt;0,H16&lt;=-10),H10,0)</f>
        <v>0</v>
      </c>
      <c r="M24">
        <f t="shared" si="10"/>
        <v>12.799999999999994</v>
      </c>
      <c r="N24">
        <f t="shared" ca="1" si="1"/>
        <v>120.89999999999999</v>
      </c>
      <c r="O24">
        <f t="shared" ca="1" si="2"/>
        <v>0</v>
      </c>
      <c r="P24">
        <f t="shared" ca="1" si="3"/>
        <v>0</v>
      </c>
      <c r="Q24">
        <f ca="1">IF(AND(P24&gt;0,SUM($Q$4:Q23)=0),ROW(),0)</f>
        <v>0</v>
      </c>
      <c r="R24">
        <f t="shared" ca="1" si="4"/>
        <v>0</v>
      </c>
      <c r="S24">
        <f t="shared" ca="1" si="5"/>
        <v>120.89999999999999</v>
      </c>
      <c r="U24">
        <f t="shared" si="14"/>
        <v>12.799999999999994</v>
      </c>
      <c r="V24">
        <f t="shared" ca="1" si="6"/>
        <v>107.20000000000002</v>
      </c>
      <c r="W24">
        <f t="shared" ca="1" si="7"/>
        <v>0</v>
      </c>
      <c r="X24">
        <f t="shared" ca="1" si="0"/>
        <v>0</v>
      </c>
      <c r="Y24">
        <f ca="1">IF(AND(X24&gt;0,SUM($Y$4:Y23)=0),ROW(),0)</f>
        <v>0</v>
      </c>
      <c r="Z24">
        <f t="shared" ca="1" si="8"/>
        <v>0</v>
      </c>
      <c r="AA24">
        <f t="shared" ca="1" si="9"/>
        <v>107.20000000000002</v>
      </c>
    </row>
    <row r="25" spans="2:27" x14ac:dyDescent="0.2">
      <c r="B25" s="269"/>
      <c r="M25">
        <f t="shared" si="10"/>
        <v>12.899999999999993</v>
      </c>
      <c r="N25">
        <f t="shared" ca="1" si="1"/>
        <v>121.10335227272726</v>
      </c>
      <c r="O25">
        <f t="shared" ca="1" si="2"/>
        <v>0</v>
      </c>
      <c r="P25">
        <f t="shared" ca="1" si="3"/>
        <v>0</v>
      </c>
      <c r="Q25">
        <f ca="1">IF(AND(P25&gt;0,SUM($Q$4:Q24)=0),ROW(),0)</f>
        <v>0</v>
      </c>
      <c r="R25">
        <f t="shared" ca="1" si="4"/>
        <v>0</v>
      </c>
      <c r="S25">
        <f t="shared" ca="1" si="5"/>
        <v>121.10335227272726</v>
      </c>
      <c r="U25">
        <f t="shared" si="14"/>
        <v>12.899999999999993</v>
      </c>
      <c r="V25">
        <f t="shared" ca="1" si="6"/>
        <v>107.28556818181819</v>
      </c>
      <c r="W25">
        <f t="shared" ca="1" si="7"/>
        <v>0</v>
      </c>
      <c r="X25">
        <f t="shared" ca="1" si="0"/>
        <v>0</v>
      </c>
      <c r="Y25">
        <f ca="1">IF(AND(X25&gt;0,SUM($Y$4:Y24)=0),ROW(),0)</f>
        <v>0</v>
      </c>
      <c r="Z25">
        <f t="shared" ca="1" si="8"/>
        <v>0</v>
      </c>
      <c r="AA25">
        <f t="shared" ca="1" si="9"/>
        <v>107.28556818181819</v>
      </c>
    </row>
    <row r="26" spans="2:27" x14ac:dyDescent="0.2">
      <c r="C26" s="212" t="s">
        <v>501</v>
      </c>
      <c r="D26" s="212" t="s">
        <v>582</v>
      </c>
      <c r="E26" s="212" t="s">
        <v>104</v>
      </c>
      <c r="K26" s="212" t="s">
        <v>585</v>
      </c>
      <c r="M26">
        <f t="shared" si="10"/>
        <v>12.999999999999993</v>
      </c>
      <c r="N26">
        <f t="shared" ca="1" si="1"/>
        <v>121.30749999999999</v>
      </c>
      <c r="O26">
        <f t="shared" ca="1" si="2"/>
        <v>0</v>
      </c>
      <c r="P26">
        <f t="shared" ca="1" si="3"/>
        <v>0</v>
      </c>
      <c r="Q26">
        <f ca="1">IF(AND(P26&gt;0,SUM($Q$4:Q25)=0),ROW(),0)</f>
        <v>0</v>
      </c>
      <c r="R26">
        <f t="shared" ca="1" si="4"/>
        <v>0</v>
      </c>
      <c r="S26">
        <f t="shared" ca="1" si="5"/>
        <v>121.30749999999999</v>
      </c>
      <c r="U26">
        <f t="shared" si="14"/>
        <v>12.999999999999993</v>
      </c>
      <c r="V26">
        <f t="shared" ca="1" si="6"/>
        <v>107.37166666666668</v>
      </c>
      <c r="W26">
        <f t="shared" ca="1" si="7"/>
        <v>0</v>
      </c>
      <c r="X26">
        <f t="shared" ca="1" si="0"/>
        <v>0</v>
      </c>
      <c r="Y26">
        <f ca="1">IF(AND(X26&gt;0,SUM($Y$4:Y25)=0),ROW(),0)</f>
        <v>0</v>
      </c>
      <c r="Z26">
        <f t="shared" ca="1" si="8"/>
        <v>0</v>
      </c>
      <c r="AA26">
        <f t="shared" ca="1" si="9"/>
        <v>107.37166666666668</v>
      </c>
    </row>
    <row r="27" spans="2:27" x14ac:dyDescent="0.2">
      <c r="B27" s="269" t="s">
        <v>575</v>
      </c>
      <c r="C27">
        <f t="array" aca="1" ref="C27:E27" ca="1">IF(J18&gt;2,LINEST(INDIRECT("C19:"&amp;ADDRESS(19+J18-1,3)),INDIRECT("B19:"&amp;ADDRESS(19+J18-1,2))^{1,2},TRUE,FALSE),LINEST(INDIRECT("C19:"&amp;ADDRESS(19+J18-1,3)),INDIRECT("B19:"&amp;ADDRESS(19+J18-1,2))^{1,0},TRUE,FALSE))</f>
        <v>3.9772727272726592E-2</v>
      </c>
      <c r="D27">
        <f ca="1"/>
        <v>1.0113636363636545</v>
      </c>
      <c r="E27">
        <f ca="1"/>
        <v>101.4381818181817</v>
      </c>
      <c r="G27">
        <f ca="1">C27-C28</f>
        <v>3.9772727272726592E-2</v>
      </c>
      <c r="H27">
        <f ca="1">D27-D28</f>
        <v>2.6613636363636539</v>
      </c>
      <c r="I27">
        <f ca="1">E27-E28</f>
        <v>-52.881818181818289</v>
      </c>
      <c r="K27">
        <f ca="1">IF(AND((-H27+SQRT(H27*H27-4*G27*I27))/(2*G27)&gt;=C8,(-H27+SQRT(H27*H27-4*G27*I27))/(2*G27)&lt;=MAX(C8:H8)),(-H27+SQRT(H27*H27-4*G27*I27))/(2*G27),(-H27-SQRT(H27*H27-4*G27*I27))/(2*G27))</f>
        <v>16.030031321256793</v>
      </c>
      <c r="M27">
        <f t="shared" si="10"/>
        <v>13.099999999999993</v>
      </c>
      <c r="N27">
        <f t="shared" ca="1" si="1"/>
        <v>121.51244318181817</v>
      </c>
      <c r="O27">
        <f t="shared" ca="1" si="2"/>
        <v>0</v>
      </c>
      <c r="P27">
        <f t="shared" ca="1" si="3"/>
        <v>0</v>
      </c>
      <c r="Q27">
        <f ca="1">IF(AND(P27&gt;0,SUM($Q$4:Q26)=0),ROW(),0)</f>
        <v>0</v>
      </c>
      <c r="R27">
        <f t="shared" ca="1" si="4"/>
        <v>0</v>
      </c>
      <c r="S27">
        <f t="shared" ca="1" si="5"/>
        <v>121.51244318181817</v>
      </c>
      <c r="U27">
        <f t="shared" si="14"/>
        <v>13.099999999999993</v>
      </c>
      <c r="V27">
        <f t="shared" ca="1" si="6"/>
        <v>107.45829545454546</v>
      </c>
      <c r="W27">
        <f t="shared" ca="1" si="7"/>
        <v>0</v>
      </c>
      <c r="X27">
        <f t="shared" ca="1" si="0"/>
        <v>0</v>
      </c>
      <c r="Y27">
        <f ca="1">IF(AND(X27&gt;0,SUM($Y$4:Y26)=0),ROW(),0)</f>
        <v>0</v>
      </c>
      <c r="Z27">
        <f t="shared" ca="1" si="8"/>
        <v>0</v>
      </c>
      <c r="AA27">
        <f t="shared" ca="1" si="9"/>
        <v>107.45829545454546</v>
      </c>
    </row>
    <row r="28" spans="2:27" x14ac:dyDescent="0.2">
      <c r="B28" s="269" t="s">
        <v>576</v>
      </c>
      <c r="C28">
        <f t="array" aca="1" ref="C28:E28" ca="1">IF(J19&gt;2,LINEST(INDIRECT(ADDRESS(19+J18,4) &amp; ":" &amp; ADDRESS(19+J18+J19-1,4)),INDIRECT(ADDRESS(19+J18,2) &amp; ":" &amp; ADDRESS(19+J18+J19-1,2))^{1,2},TRUE,FALSE),LINEST(INDIRECT(ADDRESS(19+J18,4) &amp; ":" &amp; ADDRESS(19+J18+J19-1,4)),INDIRECT(ADDRESS(19+J18,2) &amp; ":" &amp; ADDRESS(19+J18+J19-1,2))^{1,0},TRUE,FALSE))</f>
        <v>0</v>
      </c>
      <c r="D28">
        <f ca="1"/>
        <v>-1.6499999999999995</v>
      </c>
      <c r="E28">
        <f ca="1"/>
        <v>154.32</v>
      </c>
      <c r="K28">
        <f ca="1">C27*K27*K27+D27*K27+E27</f>
        <v>127.87044831992628</v>
      </c>
      <c r="M28">
        <f t="shared" si="10"/>
        <v>13.199999999999992</v>
      </c>
      <c r="N28">
        <f t="shared" ca="1" si="1"/>
        <v>121.7181818181818</v>
      </c>
      <c r="O28">
        <f t="shared" ca="1" si="2"/>
        <v>0</v>
      </c>
      <c r="P28">
        <f t="shared" ca="1" si="3"/>
        <v>0</v>
      </c>
      <c r="Q28">
        <f ca="1">IF(AND(P28&gt;0,SUM($Q$4:Q27)=0),ROW(),0)</f>
        <v>0</v>
      </c>
      <c r="R28">
        <f t="shared" ca="1" si="4"/>
        <v>0</v>
      </c>
      <c r="S28">
        <f t="shared" ca="1" si="5"/>
        <v>121.7181818181818</v>
      </c>
      <c r="U28">
        <f t="shared" si="14"/>
        <v>13.199999999999992</v>
      </c>
      <c r="V28">
        <f t="shared" ca="1" si="6"/>
        <v>107.54545454545456</v>
      </c>
      <c r="W28">
        <f t="shared" ca="1" si="7"/>
        <v>0</v>
      </c>
      <c r="X28">
        <f t="shared" ca="1" si="0"/>
        <v>0</v>
      </c>
      <c r="Y28">
        <f ca="1">IF(AND(X28&gt;0,SUM($Y$4:Y27)=0),ROW(),0)</f>
        <v>0</v>
      </c>
      <c r="Z28">
        <f t="shared" ca="1" si="8"/>
        <v>0</v>
      </c>
      <c r="AA28">
        <f t="shared" ca="1" si="9"/>
        <v>107.54545454545456</v>
      </c>
    </row>
    <row r="29" spans="2:27" x14ac:dyDescent="0.2">
      <c r="K29" s="212" t="s">
        <v>591</v>
      </c>
      <c r="M29">
        <f t="shared" si="10"/>
        <v>13.299999999999992</v>
      </c>
      <c r="N29">
        <f t="shared" ca="1" si="1"/>
        <v>121.92471590909091</v>
      </c>
      <c r="O29">
        <f t="shared" ca="1" si="2"/>
        <v>0</v>
      </c>
      <c r="P29">
        <f t="shared" ca="1" si="3"/>
        <v>0</v>
      </c>
      <c r="Q29">
        <f ca="1">IF(AND(P29&gt;0,SUM($Q$4:Q28)=0),ROW(),0)</f>
        <v>0</v>
      </c>
      <c r="R29">
        <f t="shared" ca="1" si="4"/>
        <v>0</v>
      </c>
      <c r="S29">
        <f t="shared" ca="1" si="5"/>
        <v>121.92471590909091</v>
      </c>
      <c r="U29">
        <f t="shared" si="14"/>
        <v>13.299999999999992</v>
      </c>
      <c r="V29">
        <f t="shared" ca="1" si="6"/>
        <v>107.63314393939395</v>
      </c>
      <c r="W29">
        <f t="shared" ca="1" si="7"/>
        <v>0</v>
      </c>
      <c r="X29">
        <f t="shared" ca="1" si="0"/>
        <v>0</v>
      </c>
      <c r="Y29">
        <f ca="1">IF(AND(X29&gt;0,SUM($Y$4:Y28)=0),ROW(),0)</f>
        <v>0</v>
      </c>
      <c r="Z29">
        <f t="shared" ca="1" si="8"/>
        <v>0</v>
      </c>
      <c r="AA29">
        <f t="shared" ca="1" si="9"/>
        <v>107.63314393939395</v>
      </c>
    </row>
    <row r="30" spans="2:27" x14ac:dyDescent="0.2">
      <c r="C30" s="212" t="s">
        <v>497</v>
      </c>
      <c r="D30" s="212" t="s">
        <v>498</v>
      </c>
      <c r="E30" s="212" t="s">
        <v>499</v>
      </c>
      <c r="F30" s="212" t="s">
        <v>500</v>
      </c>
      <c r="G30" s="212" t="s">
        <v>501</v>
      </c>
      <c r="H30" s="212" t="s">
        <v>582</v>
      </c>
      <c r="I30" s="212" t="s">
        <v>104</v>
      </c>
      <c r="K30">
        <f ca="1">INDIRECT(ADDRESS(4+MATCH(K31,R4:R200,0)-1,13))</f>
        <v>16.099999999999984</v>
      </c>
      <c r="M30">
        <f t="shared" si="10"/>
        <v>13.399999999999991</v>
      </c>
      <c r="N30">
        <f t="shared" ca="1" si="1"/>
        <v>122.13204545454545</v>
      </c>
      <c r="O30">
        <f t="shared" ca="1" si="2"/>
        <v>0</v>
      </c>
      <c r="P30">
        <f t="shared" ca="1" si="3"/>
        <v>0</v>
      </c>
      <c r="Q30">
        <f ca="1">IF(AND(P30&gt;0,SUM($Q$4:Q29)=0),ROW(),0)</f>
        <v>0</v>
      </c>
      <c r="R30">
        <f t="shared" ca="1" si="4"/>
        <v>0</v>
      </c>
      <c r="S30">
        <f t="shared" ca="1" si="5"/>
        <v>122.13204545454545</v>
      </c>
      <c r="U30">
        <f t="shared" si="14"/>
        <v>13.399999999999991</v>
      </c>
      <c r="V30">
        <f t="shared" ca="1" si="6"/>
        <v>107.72136363636365</v>
      </c>
      <c r="W30">
        <f t="shared" ca="1" si="7"/>
        <v>0</v>
      </c>
      <c r="X30">
        <f t="shared" ca="1" si="0"/>
        <v>0</v>
      </c>
      <c r="Y30">
        <f ca="1">IF(AND(X30&gt;0,SUM($Y$4:Y29)=0),ROW(),0)</f>
        <v>0</v>
      </c>
      <c r="Z30">
        <f t="shared" ca="1" si="8"/>
        <v>0</v>
      </c>
      <c r="AA30">
        <f t="shared" ca="1" si="9"/>
        <v>107.72136363636365</v>
      </c>
    </row>
    <row r="31" spans="2:27" x14ac:dyDescent="0.2">
      <c r="B31" s="269" t="s">
        <v>587</v>
      </c>
      <c r="C31">
        <f t="array" aca="1" ref="C31:I31" ca="1">LINEST(INDIRECT(ADDRESS(Q2,16) &amp; ":" &amp; ADDRESS(Q2+P2-1,16)),INDIRECT(ADDRESS(Q2,13) &amp; ":" &amp; ADDRESS(Q2+P2-1,13))^{1,2,3,4,5,6},TRUE,FALSE)</f>
        <v>3.6760509154445738E-2</v>
      </c>
      <c r="D31">
        <f ca="1"/>
        <v>-2.1218809045436031</v>
      </c>
      <c r="E31">
        <f ca="1"/>
        <v>42.514379470465862</v>
      </c>
      <c r="F31">
        <f ca="1"/>
        <v>-302.77867442174721</v>
      </c>
      <c r="G31">
        <f ca="1"/>
        <v>0</v>
      </c>
      <c r="H31">
        <f ca="1"/>
        <v>0</v>
      </c>
      <c r="I31">
        <f ca="1"/>
        <v>62301.205931748613</v>
      </c>
      <c r="K31">
        <f ca="1">MAX(R4:R200)</f>
        <v>127.74985471402761</v>
      </c>
      <c r="M31">
        <f t="shared" si="10"/>
        <v>13.499999999999991</v>
      </c>
      <c r="N31">
        <f t="shared" ca="1" si="1"/>
        <v>122.34017045454544</v>
      </c>
      <c r="O31">
        <f t="shared" ca="1" si="2"/>
        <v>0</v>
      </c>
      <c r="P31">
        <f t="shared" ca="1" si="3"/>
        <v>0</v>
      </c>
      <c r="Q31">
        <f ca="1">IF(AND(P31&gt;0,SUM($Q$4:Q30)=0),ROW(),0)</f>
        <v>0</v>
      </c>
      <c r="R31">
        <f t="shared" ca="1" si="4"/>
        <v>0</v>
      </c>
      <c r="S31">
        <f t="shared" ca="1" si="5"/>
        <v>122.34017045454544</v>
      </c>
      <c r="U31">
        <f t="shared" si="14"/>
        <v>13.499999999999991</v>
      </c>
      <c r="V31">
        <f t="shared" ca="1" si="6"/>
        <v>107.81011363636365</v>
      </c>
      <c r="W31">
        <f t="shared" ca="1" si="7"/>
        <v>0</v>
      </c>
      <c r="X31">
        <f t="shared" ca="1" si="0"/>
        <v>0</v>
      </c>
      <c r="Y31">
        <f ca="1">IF(AND(X31&gt;0,SUM($Y$4:Y30)=0),ROW(),0)</f>
        <v>0</v>
      </c>
      <c r="Z31">
        <f t="shared" ca="1" si="8"/>
        <v>0</v>
      </c>
      <c r="AA31">
        <f t="shared" ca="1" si="9"/>
        <v>107.81011363636365</v>
      </c>
    </row>
    <row r="32" spans="2:27" x14ac:dyDescent="0.2">
      <c r="M32">
        <f t="shared" si="10"/>
        <v>13.599999999999991</v>
      </c>
      <c r="N32">
        <f t="shared" ca="1" si="1"/>
        <v>122.54909090909089</v>
      </c>
      <c r="O32">
        <f t="shared" ca="1" si="2"/>
        <v>0</v>
      </c>
      <c r="P32">
        <f t="shared" ca="1" si="3"/>
        <v>0</v>
      </c>
      <c r="Q32">
        <f ca="1">IF(AND(P32&gt;0,SUM($Q$4:Q31)=0),ROW(),0)</f>
        <v>0</v>
      </c>
      <c r="R32">
        <f t="shared" ca="1" si="4"/>
        <v>0</v>
      </c>
      <c r="S32">
        <f t="shared" ca="1" si="5"/>
        <v>122.54909090909089</v>
      </c>
      <c r="U32">
        <f t="shared" si="14"/>
        <v>13.599999999999991</v>
      </c>
      <c r="V32">
        <f t="shared" ca="1" si="6"/>
        <v>107.89939393939395</v>
      </c>
      <c r="W32">
        <f t="shared" ca="1" si="7"/>
        <v>0</v>
      </c>
      <c r="X32">
        <f t="shared" ca="1" si="0"/>
        <v>0</v>
      </c>
      <c r="Y32">
        <f ca="1">IF(AND(X32&gt;0,SUM($Y$4:Y31)=0),ROW(),0)</f>
        <v>0</v>
      </c>
      <c r="Z32">
        <f t="shared" ca="1" si="8"/>
        <v>0</v>
      </c>
      <c r="AA32">
        <f t="shared" ca="1" si="9"/>
        <v>107.89939393939395</v>
      </c>
    </row>
    <row r="33" spans="2:27" x14ac:dyDescent="0.2">
      <c r="M33">
        <f t="shared" si="10"/>
        <v>13.69999999999999</v>
      </c>
      <c r="N33">
        <f t="shared" ca="1" si="1"/>
        <v>122.7588068181818</v>
      </c>
      <c r="O33">
        <f t="shared" ca="1" si="2"/>
        <v>0</v>
      </c>
      <c r="P33">
        <f t="shared" ca="1" si="3"/>
        <v>0</v>
      </c>
      <c r="Q33">
        <f ca="1">IF(AND(P33&gt;0,SUM($Q$4:Q32)=0),ROW(),0)</f>
        <v>0</v>
      </c>
      <c r="R33">
        <f t="shared" ca="1" si="4"/>
        <v>0</v>
      </c>
      <c r="S33">
        <f t="shared" ca="1" si="5"/>
        <v>122.7588068181818</v>
      </c>
      <c r="U33">
        <f t="shared" si="14"/>
        <v>13.69999999999999</v>
      </c>
      <c r="V33">
        <f t="shared" ca="1" si="6"/>
        <v>107.98920454545456</v>
      </c>
      <c r="W33">
        <f t="shared" ca="1" si="7"/>
        <v>0</v>
      </c>
      <c r="X33">
        <f t="shared" ca="1" si="0"/>
        <v>0</v>
      </c>
      <c r="Y33">
        <f ca="1">IF(AND(X33&gt;0,SUM($Y$4:Y32)=0),ROW(),0)</f>
        <v>0</v>
      </c>
      <c r="Z33">
        <f t="shared" ca="1" si="8"/>
        <v>0</v>
      </c>
      <c r="AA33">
        <f t="shared" ca="1" si="9"/>
        <v>107.98920454545456</v>
      </c>
    </row>
    <row r="34" spans="2:27" x14ac:dyDescent="0.2">
      <c r="C34" s="212" t="s">
        <v>501</v>
      </c>
      <c r="D34" s="212" t="s">
        <v>582</v>
      </c>
      <c r="E34" s="212" t="s">
        <v>104</v>
      </c>
      <c r="K34" s="212" t="s">
        <v>585</v>
      </c>
      <c r="M34">
        <f t="shared" si="10"/>
        <v>13.79999999999999</v>
      </c>
      <c r="N34">
        <f t="shared" ca="1" si="1"/>
        <v>122.96931818181817</v>
      </c>
      <c r="O34">
        <f t="shared" ca="1" si="2"/>
        <v>0</v>
      </c>
      <c r="P34">
        <f t="shared" ca="1" si="3"/>
        <v>0</v>
      </c>
      <c r="Q34">
        <f ca="1">IF(AND(P34&gt;0,SUM($Q$4:Q33)=0),ROW(),0)</f>
        <v>0</v>
      </c>
      <c r="R34">
        <f t="shared" ca="1" si="4"/>
        <v>0</v>
      </c>
      <c r="S34">
        <f t="shared" ca="1" si="5"/>
        <v>122.96931818181817</v>
      </c>
      <c r="U34">
        <f t="shared" si="14"/>
        <v>13.79999999999999</v>
      </c>
      <c r="V34">
        <f t="shared" ca="1" si="6"/>
        <v>108.07954545454547</v>
      </c>
      <c r="W34">
        <f t="shared" ca="1" si="7"/>
        <v>0</v>
      </c>
      <c r="X34">
        <f t="shared" ca="1" si="0"/>
        <v>0</v>
      </c>
      <c r="Y34">
        <f ca="1">IF(AND(X34&gt;0,SUM($Y$4:Y33)=0),ROW(),0)</f>
        <v>0</v>
      </c>
      <c r="Z34">
        <f t="shared" ca="1" si="8"/>
        <v>0</v>
      </c>
      <c r="AA34">
        <f t="shared" ca="1" si="9"/>
        <v>108.07954545454547</v>
      </c>
    </row>
    <row r="35" spans="2:27" x14ac:dyDescent="0.2">
      <c r="B35" s="269" t="s">
        <v>592</v>
      </c>
      <c r="C35">
        <f t="array" aca="1" ref="C35:E35" ca="1">IF(J22&gt;2,LINEST(INDIRECT("F19:"&amp;ADDRESS(19+J22-1,6)),INDIRECT("E19:"&amp;ADDRESS(19+J22-1,5))^{1,2},TRUE,FALSE),LINEST(INDIRECT("F19:"&amp;ADDRESS(19+J22-1,6)),INDIRECT("E19:"&amp;ADDRESS(19+J22-1,5))^{1,0},TRUE,FALSE))</f>
        <v>2.6515151515151027E-2</v>
      </c>
      <c r="D35">
        <f ca="1"/>
        <v>0.17424242424243974</v>
      </c>
      <c r="E35">
        <f ca="1"/>
        <v>100.62545454545445</v>
      </c>
      <c r="G35">
        <f ca="1">C35-C36</f>
        <v>2.6515151515151027E-2</v>
      </c>
      <c r="H35">
        <f ca="1">D35-D36</f>
        <v>2.474242424242445</v>
      </c>
      <c r="I35">
        <f ca="1">E35-E36</f>
        <v>-46.414545454545632</v>
      </c>
      <c r="K35">
        <f ca="1">IF(AND((-H35+SQRT(H35*H35-4*G35*I35))/(2*G35)&gt;=C8,(-H35+SQRT(H35*H35-4*G35*I35))/(2*G35)&lt;=MAX(C8:H8)),(-H35+SQRT(H35*H35-4*G35*I35))/(2*G35),(-H35-SQRT(H35*H35-4*G35*I35))/(2*G35))</f>
        <v>16.011672419382553</v>
      </c>
      <c r="M35">
        <f t="shared" si="10"/>
        <v>13.89999999999999</v>
      </c>
      <c r="N35">
        <f t="shared" ca="1" si="1"/>
        <v>123.18062499999999</v>
      </c>
      <c r="O35">
        <f t="shared" ca="1" si="2"/>
        <v>0</v>
      </c>
      <c r="P35">
        <f t="shared" ca="1" si="3"/>
        <v>0</v>
      </c>
      <c r="Q35">
        <f ca="1">IF(AND(P35&gt;0,SUM($Q$4:Q34)=0),ROW(),0)</f>
        <v>0</v>
      </c>
      <c r="R35">
        <f t="shared" ca="1" si="4"/>
        <v>0</v>
      </c>
      <c r="S35">
        <f t="shared" ca="1" si="5"/>
        <v>123.18062499999999</v>
      </c>
      <c r="U35">
        <f t="shared" si="14"/>
        <v>13.89999999999999</v>
      </c>
      <c r="V35">
        <f t="shared" ca="1" si="6"/>
        <v>108.17041666666668</v>
      </c>
      <c r="W35">
        <f t="shared" ca="1" si="7"/>
        <v>0</v>
      </c>
      <c r="X35">
        <f t="shared" ca="1" si="0"/>
        <v>0</v>
      </c>
      <c r="Y35">
        <f ca="1">IF(AND(X35&gt;0,SUM($Y$4:Y34)=0),ROW(),0)</f>
        <v>0</v>
      </c>
      <c r="Z35">
        <f t="shared" ca="1" si="8"/>
        <v>0</v>
      </c>
      <c r="AA35">
        <f t="shared" ca="1" si="9"/>
        <v>108.17041666666668</v>
      </c>
    </row>
    <row r="36" spans="2:27" x14ac:dyDescent="0.2">
      <c r="B36" s="269" t="s">
        <v>593</v>
      </c>
      <c r="C36">
        <f t="array" aca="1" ref="C36:E36" ca="1">IF(J23&gt;2,LINEST(INDIRECT(ADDRESS(19+J22,7) &amp; ":" &amp; ADDRESS(19+J22+J23-1,7)),INDIRECT(ADDRESS(19+J22,5) &amp; ":" &amp; ADDRESS(19+J22+J23-1,5))^{1,2},TRUE,FALSE),LINEST(INDIRECT(ADDRESS(19+J22,7) &amp; ":" &amp; ADDRESS(19+J22+J23-1,7)),INDIRECT(ADDRESS(19+J22,5) &amp; ":" &amp; ADDRESS(19+J22+J23-1,5))^{1,0},TRUE,FALSE))</f>
        <v>0</v>
      </c>
      <c r="D36">
        <f ca="1"/>
        <v>-2.3000000000000052</v>
      </c>
      <c r="E36">
        <f ca="1"/>
        <v>147.04000000000008</v>
      </c>
      <c r="K36">
        <f ca="1">C35*K35*K35+D35*K35+E35</f>
        <v>110.21315343542014</v>
      </c>
      <c r="M36">
        <f t="shared" si="10"/>
        <v>13.999999999999989</v>
      </c>
      <c r="N36">
        <f t="shared" ca="1" si="1"/>
        <v>123.39272727272726</v>
      </c>
      <c r="O36">
        <f t="shared" ca="1" si="2"/>
        <v>0</v>
      </c>
      <c r="P36">
        <f t="shared" ca="1" si="3"/>
        <v>0</v>
      </c>
      <c r="Q36">
        <f ca="1">IF(AND(P36&gt;0,SUM($Q$4:Q35)=0),ROW(),0)</f>
        <v>0</v>
      </c>
      <c r="R36">
        <f t="shared" ca="1" si="4"/>
        <v>0</v>
      </c>
      <c r="S36">
        <f t="shared" ca="1" si="5"/>
        <v>123.39272727272726</v>
      </c>
      <c r="U36">
        <f t="shared" si="14"/>
        <v>13.999999999999989</v>
      </c>
      <c r="V36">
        <f t="shared" ca="1" si="6"/>
        <v>108.2618181818182</v>
      </c>
      <c r="W36">
        <f t="shared" ca="1" si="7"/>
        <v>0</v>
      </c>
      <c r="X36">
        <f t="shared" ca="1" si="0"/>
        <v>0</v>
      </c>
      <c r="Y36">
        <f ca="1">IF(AND(X36&gt;0,SUM($Y$4:Y35)=0),ROW(),0)</f>
        <v>0</v>
      </c>
      <c r="Z36">
        <f t="shared" ca="1" si="8"/>
        <v>0</v>
      </c>
      <c r="AA36">
        <f t="shared" ca="1" si="9"/>
        <v>108.2618181818182</v>
      </c>
    </row>
    <row r="37" spans="2:27" x14ac:dyDescent="0.2">
      <c r="K37" s="212" t="s">
        <v>591</v>
      </c>
      <c r="M37">
        <f t="shared" si="10"/>
        <v>14.099999999999989</v>
      </c>
      <c r="N37">
        <f t="shared" ca="1" si="1"/>
        <v>123.60562499999997</v>
      </c>
      <c r="O37">
        <f t="shared" ca="1" si="2"/>
        <v>0</v>
      </c>
      <c r="P37">
        <f t="shared" ca="1" si="3"/>
        <v>0</v>
      </c>
      <c r="Q37">
        <f ca="1">IF(AND(P37&gt;0,SUM($Q$4:Q36)=0),ROW(),0)</f>
        <v>0</v>
      </c>
      <c r="R37">
        <f t="shared" ca="1" si="4"/>
        <v>0</v>
      </c>
      <c r="S37">
        <f t="shared" ca="1" si="5"/>
        <v>123.60562499999997</v>
      </c>
      <c r="U37">
        <f t="shared" si="14"/>
        <v>14.099999999999989</v>
      </c>
      <c r="V37">
        <f t="shared" ca="1" si="6"/>
        <v>108.35375000000001</v>
      </c>
      <c r="W37">
        <f t="shared" ca="1" si="7"/>
        <v>0</v>
      </c>
      <c r="X37">
        <f t="shared" ca="1" si="0"/>
        <v>0</v>
      </c>
      <c r="Y37">
        <f ca="1">IF(AND(X37&gt;0,SUM($Y$4:Y36)=0),ROW(),0)</f>
        <v>0</v>
      </c>
      <c r="Z37">
        <f t="shared" ca="1" si="8"/>
        <v>0</v>
      </c>
      <c r="AA37">
        <f t="shared" ca="1" si="9"/>
        <v>108.35375000000001</v>
      </c>
    </row>
    <row r="38" spans="2:27" x14ac:dyDescent="0.2">
      <c r="C38" s="212" t="s">
        <v>497</v>
      </c>
      <c r="D38" s="212" t="s">
        <v>498</v>
      </c>
      <c r="E38" s="212" t="s">
        <v>499</v>
      </c>
      <c r="F38" s="212" t="s">
        <v>500</v>
      </c>
      <c r="G38" s="212" t="s">
        <v>501</v>
      </c>
      <c r="H38" s="212" t="s">
        <v>582</v>
      </c>
      <c r="I38" s="212" t="s">
        <v>104</v>
      </c>
      <c r="K38">
        <f ca="1">INDIRECT(ADDRESS(4+MATCH(K39,Z4:Z200,0)-1,21))</f>
        <v>15.999999999999982</v>
      </c>
      <c r="M38">
        <f t="shared" si="10"/>
        <v>14.199999999999989</v>
      </c>
      <c r="N38">
        <f t="shared" ca="1" si="1"/>
        <v>123.81931818181816</v>
      </c>
      <c r="O38">
        <f t="shared" ca="1" si="2"/>
        <v>0</v>
      </c>
      <c r="P38">
        <f t="shared" ca="1" si="3"/>
        <v>0</v>
      </c>
      <c r="Q38">
        <f ca="1">IF(AND(P38&gt;0,SUM($Q$4:Q37)=0),ROW(),0)</f>
        <v>0</v>
      </c>
      <c r="R38">
        <f t="shared" ca="1" si="4"/>
        <v>0</v>
      </c>
      <c r="S38">
        <f t="shared" ca="1" si="5"/>
        <v>123.81931818181816</v>
      </c>
      <c r="U38">
        <f t="shared" si="14"/>
        <v>14.199999999999989</v>
      </c>
      <c r="V38">
        <f t="shared" ca="1" si="6"/>
        <v>108.44621212121213</v>
      </c>
      <c r="W38">
        <f t="shared" ca="1" si="7"/>
        <v>0</v>
      </c>
      <c r="X38">
        <f t="shared" ca="1" si="0"/>
        <v>0</v>
      </c>
      <c r="Y38">
        <f ca="1">IF(AND(X38&gt;0,SUM($Y$4:Y37)=0),ROW(),0)</f>
        <v>0</v>
      </c>
      <c r="Z38">
        <f t="shared" ca="1" si="8"/>
        <v>0</v>
      </c>
      <c r="AA38">
        <f t="shared" ca="1" si="9"/>
        <v>108.44621212121213</v>
      </c>
    </row>
    <row r="39" spans="2:27" x14ac:dyDescent="0.2">
      <c r="B39" s="269" t="s">
        <v>594</v>
      </c>
      <c r="C39">
        <f t="array" aca="1" ref="C39:I39" ca="1">LINEST(INDIRECT(ADDRESS(Y2,24) &amp; ":" &amp; ADDRESS(Y2+X2-1,24)),INDIRECT(ADDRESS(Y2,21) &amp; ":" &amp; ADDRESS(Y2+X2-1,21))^{1,2,3,4,5,6},TRUE,FALSE)</f>
        <v>3.0801340321876307E-2</v>
      </c>
      <c r="D39">
        <f ca="1"/>
        <v>-1.7765059250516191</v>
      </c>
      <c r="E39">
        <f ca="1"/>
        <v>35.566289477093029</v>
      </c>
      <c r="F39">
        <f ca="1"/>
        <v>-253.09679734529746</v>
      </c>
      <c r="G39">
        <f ca="1"/>
        <v>0</v>
      </c>
      <c r="H39">
        <f ca="1"/>
        <v>0</v>
      </c>
      <c r="I39">
        <f ca="1"/>
        <v>51962.998721206444</v>
      </c>
      <c r="K39">
        <f ca="1">MAX(Z4:Z200)</f>
        <v>110.12676833872683</v>
      </c>
      <c r="M39">
        <f t="shared" si="10"/>
        <v>14.299999999999988</v>
      </c>
      <c r="N39">
        <f t="shared" ca="1" si="1"/>
        <v>124.0338068181818</v>
      </c>
      <c r="O39">
        <f t="shared" ca="1" si="2"/>
        <v>0</v>
      </c>
      <c r="P39">
        <f t="shared" ca="1" si="3"/>
        <v>0</v>
      </c>
      <c r="Q39">
        <f ca="1">IF(AND(P39&gt;0,SUM($Q$4:Q38)=0),ROW(),0)</f>
        <v>0</v>
      </c>
      <c r="R39">
        <f t="shared" ca="1" si="4"/>
        <v>0</v>
      </c>
      <c r="S39">
        <f t="shared" ca="1" si="5"/>
        <v>124.0338068181818</v>
      </c>
      <c r="U39">
        <f t="shared" si="14"/>
        <v>14.299999999999988</v>
      </c>
      <c r="V39">
        <f t="shared" ca="1" si="6"/>
        <v>108.53920454545455</v>
      </c>
      <c r="W39">
        <f t="shared" ca="1" si="7"/>
        <v>0</v>
      </c>
      <c r="X39">
        <f t="shared" ca="1" si="0"/>
        <v>0</v>
      </c>
      <c r="Y39">
        <f ca="1">IF(AND(X39&gt;0,SUM($Y$4:Y38)=0),ROW(),0)</f>
        <v>0</v>
      </c>
      <c r="Z39">
        <f t="shared" ca="1" si="8"/>
        <v>0</v>
      </c>
      <c r="AA39">
        <f t="shared" ca="1" si="9"/>
        <v>108.53920454545455</v>
      </c>
    </row>
    <row r="40" spans="2:27" x14ac:dyDescent="0.2">
      <c r="M40">
        <f t="shared" si="10"/>
        <v>14.399999999999988</v>
      </c>
      <c r="N40">
        <f t="shared" ca="1" si="1"/>
        <v>124.24909090909088</v>
      </c>
      <c r="O40">
        <f t="shared" ca="1" si="2"/>
        <v>0</v>
      </c>
      <c r="P40">
        <f t="shared" ca="1" si="3"/>
        <v>0</v>
      </c>
      <c r="Q40">
        <f ca="1">IF(AND(P40&gt;0,SUM($Q$4:Q39)=0),ROW(),0)</f>
        <v>0</v>
      </c>
      <c r="R40">
        <f t="shared" ca="1" si="4"/>
        <v>0</v>
      </c>
      <c r="S40">
        <f t="shared" ca="1" si="5"/>
        <v>124.24909090909088</v>
      </c>
      <c r="U40">
        <f t="shared" si="14"/>
        <v>14.399999999999988</v>
      </c>
      <c r="V40">
        <f t="shared" ca="1" si="6"/>
        <v>108.63272727272728</v>
      </c>
      <c r="W40">
        <f t="shared" ca="1" si="7"/>
        <v>0</v>
      </c>
      <c r="X40">
        <f t="shared" ca="1" si="0"/>
        <v>0</v>
      </c>
      <c r="Y40">
        <f ca="1">IF(AND(X40&gt;0,SUM($Y$4:Y39)=0),ROW(),0)</f>
        <v>0</v>
      </c>
      <c r="Z40">
        <f t="shared" ca="1" si="8"/>
        <v>0</v>
      </c>
      <c r="AA40">
        <f t="shared" ca="1" si="9"/>
        <v>108.63272727272728</v>
      </c>
    </row>
    <row r="41" spans="2:27" x14ac:dyDescent="0.2">
      <c r="M41">
        <f t="shared" si="10"/>
        <v>14.499999999999988</v>
      </c>
      <c r="N41">
        <f t="shared" ca="1" si="1"/>
        <v>124.46517045454543</v>
      </c>
      <c r="O41">
        <f t="shared" ca="1" si="2"/>
        <v>0</v>
      </c>
      <c r="P41">
        <f t="shared" ca="1" si="3"/>
        <v>0</v>
      </c>
      <c r="Q41">
        <f ca="1">IF(AND(P41&gt;0,SUM($Q$4:Q40)=0),ROW(),0)</f>
        <v>0</v>
      </c>
      <c r="R41">
        <f t="shared" ca="1" si="4"/>
        <v>0</v>
      </c>
      <c r="S41">
        <f t="shared" ca="1" si="5"/>
        <v>124.46517045454543</v>
      </c>
      <c r="U41">
        <f t="shared" si="14"/>
        <v>14.499999999999988</v>
      </c>
      <c r="V41">
        <f t="shared" ca="1" si="6"/>
        <v>108.72678030303031</v>
      </c>
      <c r="W41">
        <f t="shared" ca="1" si="7"/>
        <v>0</v>
      </c>
      <c r="X41">
        <f t="shared" ca="1" si="0"/>
        <v>0</v>
      </c>
      <c r="Y41">
        <f ca="1">IF(AND(X41&gt;0,SUM($Y$4:Y40)=0),ROW(),0)</f>
        <v>0</v>
      </c>
      <c r="Z41">
        <f t="shared" ca="1" si="8"/>
        <v>0</v>
      </c>
      <c r="AA41">
        <f t="shared" ca="1" si="9"/>
        <v>108.72678030303031</v>
      </c>
    </row>
    <row r="42" spans="2:27" x14ac:dyDescent="0.2">
      <c r="H42" t="str">
        <f ca="1">"WWD Max Density = "&amp;TEXT(ROUND(K31,1),"#.0")&amp;"lb/ft^3"</f>
        <v>WWD Max Density = 127.7lb/ft^3</v>
      </c>
      <c r="M42">
        <f t="shared" si="10"/>
        <v>14.599999999999987</v>
      </c>
      <c r="N42">
        <f t="shared" ca="1" si="1"/>
        <v>124.68204545454543</v>
      </c>
      <c r="O42">
        <f t="shared" ca="1" si="2"/>
        <v>0</v>
      </c>
      <c r="P42">
        <f t="shared" ca="1" si="3"/>
        <v>0</v>
      </c>
      <c r="Q42">
        <f ca="1">IF(AND(P42&gt;0,SUM($Q$4:Q41)=0),ROW(),0)</f>
        <v>0</v>
      </c>
      <c r="R42">
        <f t="shared" ca="1" si="4"/>
        <v>0</v>
      </c>
      <c r="S42">
        <f t="shared" ca="1" si="5"/>
        <v>124.68204545454543</v>
      </c>
      <c r="U42">
        <f t="shared" si="14"/>
        <v>14.599999999999987</v>
      </c>
      <c r="V42">
        <f t="shared" ca="1" si="6"/>
        <v>108.82136363636364</v>
      </c>
      <c r="W42">
        <f t="shared" ca="1" si="7"/>
        <v>0</v>
      </c>
      <c r="X42">
        <f t="shared" ca="1" si="0"/>
        <v>0</v>
      </c>
      <c r="Y42">
        <f ca="1">IF(AND(X42&gt;0,SUM($Y$4:Y41)=0),ROW(),0)</f>
        <v>0</v>
      </c>
      <c r="Z42">
        <f t="shared" ca="1" si="8"/>
        <v>0</v>
      </c>
      <c r="AA42">
        <f t="shared" ca="1" si="9"/>
        <v>108.82136363636364</v>
      </c>
    </row>
    <row r="43" spans="2:27" x14ac:dyDescent="0.2">
      <c r="H43" t="str">
        <f ca="1">"WWD Opt Moisture = "&amp;ROUND(K30,1)&amp;"%"</f>
        <v>WWD Opt Moisture = 16.1%</v>
      </c>
      <c r="M43">
        <f t="shared" si="10"/>
        <v>14.699999999999987</v>
      </c>
      <c r="N43">
        <f t="shared" ca="1" si="1"/>
        <v>124.89971590909089</v>
      </c>
      <c r="O43">
        <f t="shared" ca="1" si="2"/>
        <v>0</v>
      </c>
      <c r="P43">
        <f t="shared" ca="1" si="3"/>
        <v>0</v>
      </c>
      <c r="Q43">
        <f ca="1">IF(AND(P43&gt;0,SUM($Q$4:Q42)=0),ROW(),0)</f>
        <v>0</v>
      </c>
      <c r="R43">
        <f t="shared" ca="1" si="4"/>
        <v>0</v>
      </c>
      <c r="S43">
        <f t="shared" ca="1" si="5"/>
        <v>124.89971590909089</v>
      </c>
      <c r="U43">
        <f t="shared" si="14"/>
        <v>14.699999999999987</v>
      </c>
      <c r="V43">
        <f t="shared" ca="1" si="6"/>
        <v>108.91647727272728</v>
      </c>
      <c r="W43">
        <f t="shared" ca="1" si="7"/>
        <v>0</v>
      </c>
      <c r="X43">
        <f t="shared" ca="1" si="0"/>
        <v>0</v>
      </c>
      <c r="Y43">
        <f ca="1">IF(AND(X43&gt;0,SUM($Y$4:Y42)=0),ROW(),0)</f>
        <v>0</v>
      </c>
      <c r="Z43">
        <f t="shared" ca="1" si="8"/>
        <v>0</v>
      </c>
      <c r="AA43">
        <f t="shared" ca="1" si="9"/>
        <v>108.91647727272728</v>
      </c>
    </row>
    <row r="44" spans="2:27" x14ac:dyDescent="0.2">
      <c r="M44">
        <f t="shared" si="10"/>
        <v>14.799999999999986</v>
      </c>
      <c r="N44">
        <f t="shared" ca="1" si="1"/>
        <v>125.1181818181818</v>
      </c>
      <c r="O44">
        <f t="shared" ca="1" si="2"/>
        <v>129.90000000000003</v>
      </c>
      <c r="P44">
        <f t="shared" ca="1" si="3"/>
        <v>0</v>
      </c>
      <c r="Q44">
        <f ca="1">IF(AND(P44&gt;0,SUM($Q$4:Q43)=0),ROW(),0)</f>
        <v>0</v>
      </c>
      <c r="R44">
        <f t="shared" ca="1" si="4"/>
        <v>0</v>
      </c>
      <c r="S44">
        <f t="shared" ca="1" si="5"/>
        <v>125.1181818181818</v>
      </c>
      <c r="U44">
        <f t="shared" si="14"/>
        <v>14.799999999999986</v>
      </c>
      <c r="V44">
        <f t="shared" ca="1" si="6"/>
        <v>109.01212121212123</v>
      </c>
      <c r="W44">
        <f t="shared" ca="1" si="7"/>
        <v>113.00000000000003</v>
      </c>
      <c r="X44">
        <f t="shared" ca="1" si="0"/>
        <v>0</v>
      </c>
      <c r="Y44">
        <f ca="1">IF(AND(X44&gt;0,SUM($Y$4:Y43)=0),ROW(),0)</f>
        <v>0</v>
      </c>
      <c r="Z44">
        <f t="shared" ca="1" si="8"/>
        <v>0</v>
      </c>
      <c r="AA44">
        <f t="shared" ca="1" si="9"/>
        <v>109.01212121212123</v>
      </c>
    </row>
    <row r="45" spans="2:27" x14ac:dyDescent="0.2">
      <c r="H45" t="str">
        <f ca="1">"DWD Max Density = "&amp;TEXT(ROUND(K39,1),"#.0")&amp;"lb/ft^3"</f>
        <v>DWD Max Density = 110.1lb/ft^3</v>
      </c>
      <c r="M45">
        <f t="shared" si="10"/>
        <v>14.899999999999986</v>
      </c>
      <c r="N45">
        <f t="shared" ca="1" si="1"/>
        <v>125.33744318181814</v>
      </c>
      <c r="O45">
        <f t="shared" ca="1" si="2"/>
        <v>129.73500000000001</v>
      </c>
      <c r="P45">
        <f t="shared" ca="1" si="3"/>
        <v>0</v>
      </c>
      <c r="Q45">
        <f ca="1">IF(AND(P45&gt;0,SUM($Q$4:Q44)=0),ROW(),0)</f>
        <v>0</v>
      </c>
      <c r="R45">
        <f t="shared" ca="1" si="4"/>
        <v>0</v>
      </c>
      <c r="S45">
        <f t="shared" ca="1" si="5"/>
        <v>125.33744318181814</v>
      </c>
      <c r="U45">
        <f t="shared" si="14"/>
        <v>14.899999999999986</v>
      </c>
      <c r="V45">
        <f t="shared" ca="1" si="6"/>
        <v>109.10829545454547</v>
      </c>
      <c r="W45">
        <f t="shared" ca="1" si="7"/>
        <v>112.77000000000004</v>
      </c>
      <c r="X45">
        <f t="shared" ca="1" si="0"/>
        <v>0</v>
      </c>
      <c r="Y45">
        <f ca="1">IF(AND(X45&gt;0,SUM($Y$4:Y44)=0),ROW(),0)</f>
        <v>0</v>
      </c>
      <c r="Z45">
        <f t="shared" ca="1" si="8"/>
        <v>0</v>
      </c>
      <c r="AA45">
        <f t="shared" ca="1" si="9"/>
        <v>109.10829545454547</v>
      </c>
    </row>
    <row r="46" spans="2:27" x14ac:dyDescent="0.2">
      <c r="H46" t="str">
        <f ca="1">"DWD Opt Moisture = "&amp;ROUND(K38,1)&amp;"%"</f>
        <v>DWD Opt Moisture = 16%</v>
      </c>
      <c r="M46">
        <f t="shared" si="10"/>
        <v>14.999999999999986</v>
      </c>
      <c r="N46">
        <f t="shared" ca="1" si="1"/>
        <v>125.55749999999998</v>
      </c>
      <c r="O46">
        <f t="shared" ca="1" si="2"/>
        <v>129.57000000000002</v>
      </c>
      <c r="P46">
        <f t="shared" ca="1" si="3"/>
        <v>0</v>
      </c>
      <c r="Q46">
        <f ca="1">IF(AND(P46&gt;0,SUM($Q$4:Q45)=0),ROW(),0)</f>
        <v>0</v>
      </c>
      <c r="R46">
        <f t="shared" ca="1" si="4"/>
        <v>0</v>
      </c>
      <c r="S46">
        <f t="shared" ca="1" si="5"/>
        <v>125.55749999999998</v>
      </c>
      <c r="U46">
        <f t="shared" si="14"/>
        <v>14.999999999999986</v>
      </c>
      <c r="V46">
        <f t="shared" ca="1" si="6"/>
        <v>109.20500000000001</v>
      </c>
      <c r="W46">
        <f t="shared" ca="1" si="7"/>
        <v>112.54000000000003</v>
      </c>
      <c r="X46">
        <f t="shared" ca="1" si="0"/>
        <v>0</v>
      </c>
      <c r="Y46">
        <f ca="1">IF(AND(X46&gt;0,SUM($Y$4:Y45)=0),ROW(),0)</f>
        <v>0</v>
      </c>
      <c r="Z46">
        <f t="shared" ca="1" si="8"/>
        <v>0</v>
      </c>
      <c r="AA46">
        <f t="shared" ca="1" si="9"/>
        <v>109.20500000000001</v>
      </c>
    </row>
    <row r="47" spans="2:27" x14ac:dyDescent="0.2">
      <c r="M47">
        <f t="shared" si="10"/>
        <v>15.099999999999985</v>
      </c>
      <c r="N47">
        <f t="shared" ca="1" si="1"/>
        <v>125.77835227272725</v>
      </c>
      <c r="O47">
        <f t="shared" ca="1" si="2"/>
        <v>129.40500000000003</v>
      </c>
      <c r="P47">
        <f t="shared" ca="1" si="3"/>
        <v>0</v>
      </c>
      <c r="Q47">
        <f ca="1">IF(AND(P47&gt;0,SUM($Q$4:Q46)=0),ROW(),0)</f>
        <v>0</v>
      </c>
      <c r="R47">
        <f t="shared" ca="1" si="4"/>
        <v>0</v>
      </c>
      <c r="S47">
        <f t="shared" ca="1" si="5"/>
        <v>125.77835227272725</v>
      </c>
      <c r="U47">
        <f t="shared" si="14"/>
        <v>15.099999999999985</v>
      </c>
      <c r="V47">
        <f t="shared" ca="1" si="6"/>
        <v>109.30223484848486</v>
      </c>
      <c r="W47">
        <f t="shared" ca="1" si="7"/>
        <v>112.31000000000003</v>
      </c>
      <c r="X47">
        <f t="shared" ca="1" si="0"/>
        <v>0</v>
      </c>
      <c r="Y47">
        <f ca="1">IF(AND(X47&gt;0,SUM($Y$4:Y46)=0),ROW(),0)</f>
        <v>0</v>
      </c>
      <c r="Z47">
        <f t="shared" ca="1" si="8"/>
        <v>0</v>
      </c>
      <c r="AA47">
        <f t="shared" ca="1" si="9"/>
        <v>109.30223484848486</v>
      </c>
    </row>
    <row r="48" spans="2:27" x14ac:dyDescent="0.2">
      <c r="M48">
        <f t="shared" si="10"/>
        <v>15.199999999999985</v>
      </c>
      <c r="N48">
        <f t="shared" ca="1" si="1"/>
        <v>125.99999999999997</v>
      </c>
      <c r="O48">
        <f t="shared" ca="1" si="2"/>
        <v>129.24000000000004</v>
      </c>
      <c r="P48">
        <f t="shared" ca="1" si="3"/>
        <v>0</v>
      </c>
      <c r="Q48">
        <f ca="1">IF(AND(P48&gt;0,SUM($Q$4:Q47)=0),ROW(),0)</f>
        <v>0</v>
      </c>
      <c r="R48">
        <f t="shared" ca="1" si="4"/>
        <v>0</v>
      </c>
      <c r="S48">
        <f t="shared" ca="1" si="5"/>
        <v>125.99999999999997</v>
      </c>
      <c r="U48">
        <f t="shared" si="14"/>
        <v>15.199999999999985</v>
      </c>
      <c r="V48">
        <f t="shared" ca="1" si="6"/>
        <v>109.4</v>
      </c>
      <c r="W48">
        <f t="shared" ca="1" si="7"/>
        <v>112.08000000000004</v>
      </c>
      <c r="X48">
        <f t="shared" ca="1" si="0"/>
        <v>0</v>
      </c>
      <c r="Y48">
        <f ca="1">IF(AND(X48&gt;0,SUM($Y$4:Y47)=0),ROW(),0)</f>
        <v>0</v>
      </c>
      <c r="Z48">
        <f t="shared" ca="1" si="8"/>
        <v>0</v>
      </c>
      <c r="AA48">
        <f t="shared" ca="1" si="9"/>
        <v>109.4</v>
      </c>
    </row>
    <row r="49" spans="13:27" x14ac:dyDescent="0.2">
      <c r="M49">
        <f t="shared" si="10"/>
        <v>15.299999999999985</v>
      </c>
      <c r="N49">
        <f t="shared" ca="1" si="1"/>
        <v>126.22244318181815</v>
      </c>
      <c r="O49">
        <f t="shared" ca="1" si="2"/>
        <v>129.07500000000002</v>
      </c>
      <c r="P49">
        <f t="shared" ca="1" si="3"/>
        <v>0</v>
      </c>
      <c r="Q49">
        <f ca="1">IF(AND(P49&gt;0,SUM($Q$4:Q48)=0),ROW(),0)</f>
        <v>0</v>
      </c>
      <c r="R49">
        <f t="shared" ca="1" si="4"/>
        <v>0</v>
      </c>
      <c r="S49">
        <f t="shared" ca="1" si="5"/>
        <v>126.22244318181815</v>
      </c>
      <c r="U49">
        <f t="shared" si="14"/>
        <v>15.299999999999985</v>
      </c>
      <c r="V49">
        <f t="shared" ca="1" si="6"/>
        <v>109.49829545454546</v>
      </c>
      <c r="W49">
        <f t="shared" ca="1" si="7"/>
        <v>111.85000000000004</v>
      </c>
      <c r="X49">
        <f t="shared" ca="1" si="0"/>
        <v>0</v>
      </c>
      <c r="Y49">
        <f ca="1">IF(AND(X49&gt;0,SUM($Y$4:Y48)=0),ROW(),0)</f>
        <v>0</v>
      </c>
      <c r="Z49">
        <f t="shared" ca="1" si="8"/>
        <v>0</v>
      </c>
      <c r="AA49">
        <f t="shared" ca="1" si="9"/>
        <v>109.49829545454546</v>
      </c>
    </row>
    <row r="50" spans="13:27" x14ac:dyDescent="0.2">
      <c r="M50">
        <f t="shared" si="10"/>
        <v>15.399999999999984</v>
      </c>
      <c r="N50">
        <f t="shared" ca="1" si="1"/>
        <v>126.44568181818178</v>
      </c>
      <c r="O50">
        <f t="shared" ca="1" si="2"/>
        <v>128.91000000000003</v>
      </c>
      <c r="P50">
        <f t="shared" ca="1" si="3"/>
        <v>0</v>
      </c>
      <c r="Q50">
        <f ca="1">IF(AND(P50&gt;0,SUM($Q$4:Q49)=0),ROW(),0)</f>
        <v>0</v>
      </c>
      <c r="R50">
        <f t="shared" ca="1" si="4"/>
        <v>0</v>
      </c>
      <c r="S50">
        <f t="shared" ca="1" si="5"/>
        <v>126.44568181818178</v>
      </c>
      <c r="U50">
        <f t="shared" si="14"/>
        <v>15.399999999999984</v>
      </c>
      <c r="V50">
        <f t="shared" ca="1" si="6"/>
        <v>109.59712121212122</v>
      </c>
      <c r="W50">
        <f t="shared" ca="1" si="7"/>
        <v>111.62000000000003</v>
      </c>
      <c r="X50">
        <f t="shared" ca="1" si="0"/>
        <v>0</v>
      </c>
      <c r="Y50">
        <f ca="1">IF(AND(X50&gt;0,SUM($Y$4:Y49)=0),ROW(),0)</f>
        <v>0</v>
      </c>
      <c r="Z50">
        <f t="shared" ca="1" si="8"/>
        <v>0</v>
      </c>
      <c r="AA50">
        <f t="shared" ca="1" si="9"/>
        <v>109.59712121212122</v>
      </c>
    </row>
    <row r="51" spans="13:27" x14ac:dyDescent="0.2">
      <c r="M51">
        <f t="shared" si="10"/>
        <v>15.499999999999984</v>
      </c>
      <c r="N51">
        <f t="shared" ca="1" si="1"/>
        <v>126.66971590909088</v>
      </c>
      <c r="O51">
        <f t="shared" ca="1" si="2"/>
        <v>128.74500000000003</v>
      </c>
      <c r="P51">
        <f t="shared" ca="1" si="3"/>
        <v>0</v>
      </c>
      <c r="Q51">
        <f ca="1">IF(AND(P51&gt;0,SUM($Q$4:Q50)=0),ROW(),0)</f>
        <v>0</v>
      </c>
      <c r="R51">
        <f t="shared" ca="1" si="4"/>
        <v>0</v>
      </c>
      <c r="S51">
        <f t="shared" ca="1" si="5"/>
        <v>126.66971590909088</v>
      </c>
      <c r="U51">
        <f t="shared" si="14"/>
        <v>15.499999999999984</v>
      </c>
      <c r="V51">
        <f t="shared" ca="1" si="6"/>
        <v>109.69647727272728</v>
      </c>
      <c r="W51">
        <f t="shared" ca="1" si="7"/>
        <v>111.39000000000004</v>
      </c>
      <c r="X51">
        <f t="shared" ca="1" si="0"/>
        <v>0</v>
      </c>
      <c r="Y51">
        <f ca="1">IF(AND(X51&gt;0,SUM($Y$4:Y50)=0),ROW(),0)</f>
        <v>0</v>
      </c>
      <c r="Z51">
        <f t="shared" ca="1" si="8"/>
        <v>0</v>
      </c>
      <c r="AA51">
        <f t="shared" ca="1" si="9"/>
        <v>109.69647727272728</v>
      </c>
    </row>
    <row r="52" spans="13:27" x14ac:dyDescent="0.2">
      <c r="M52">
        <f t="shared" si="10"/>
        <v>15.599999999999984</v>
      </c>
      <c r="N52">
        <f t="shared" ca="1" si="1"/>
        <v>126.89454545454542</v>
      </c>
      <c r="O52">
        <f t="shared" ca="1" si="2"/>
        <v>128.58000000000004</v>
      </c>
      <c r="P52">
        <f ca="1">IF(AND(M52&gt;=$K$27-1, M52&lt;=$K$27+1),IF(AND(M52&lt;=$K$27,M52&gt;0),N52,O52),0)</f>
        <v>126.89454545454542</v>
      </c>
      <c r="Q52">
        <f ca="1">IF(AND(P52&gt;0,SUM($Q$4:Q51)=0),ROW(),0)</f>
        <v>52</v>
      </c>
      <c r="R52">
        <f ca="1">IF(P52&gt;0,$C$31*M52^6+$D$31*M52^5+$E$31*M52^4+$F$31*M52^3+$G$31*M52^2+$H$31*M52+$I$31,0)</f>
        <v>126.89681892760564</v>
      </c>
      <c r="S52">
        <f t="shared" ca="1" si="5"/>
        <v>126.89681892760564</v>
      </c>
      <c r="U52">
        <f t="shared" si="14"/>
        <v>15.599999999999984</v>
      </c>
      <c r="V52">
        <f t="shared" ca="1" si="6"/>
        <v>109.79636363636365</v>
      </c>
      <c r="W52">
        <f t="shared" ca="1" si="7"/>
        <v>111.16000000000003</v>
      </c>
      <c r="X52">
        <f ca="1">IF(AND(U52&gt;=$K$35-0.5, U52&lt;=$K$35+0.5),IF(AND(U52&lt;=$K$35,U52&gt;0),V52,W52),0)</f>
        <v>109.79636363636365</v>
      </c>
      <c r="Y52">
        <f ca="1">IF(AND(X52&gt;0,SUM($Y$4:Y51)=0),ROW(),0)</f>
        <v>52</v>
      </c>
      <c r="Z52">
        <f t="shared" ca="1" si="8"/>
        <v>109.79427533573471</v>
      </c>
      <c r="AA52">
        <f t="shared" ca="1" si="9"/>
        <v>109.79427533573471</v>
      </c>
    </row>
    <row r="53" spans="13:27" x14ac:dyDescent="0.2">
      <c r="M53">
        <f t="shared" si="10"/>
        <v>15.699999999999983</v>
      </c>
      <c r="N53">
        <f t="shared" ca="1" si="1"/>
        <v>127.12017045454542</v>
      </c>
      <c r="O53">
        <f t="shared" ca="1" si="2"/>
        <v>128.41500000000002</v>
      </c>
      <c r="P53">
        <f t="shared" ref="P53:P61" ca="1" si="18">IF(AND(M53&gt;=$K$27-1, M53&lt;=$K$27+1),IF(AND(M53&lt;=$K$27,M53&gt;0),N53,O53),0)</f>
        <v>127.12017045454542</v>
      </c>
      <c r="Q53">
        <f ca="1">IF(AND(P53&gt;0,SUM($Q$4:Q52)=0),ROW(),0)</f>
        <v>0</v>
      </c>
      <c r="R53">
        <f t="shared" ca="1" si="4"/>
        <v>127.1031318284804</v>
      </c>
      <c r="S53">
        <f t="shared" ca="1" si="5"/>
        <v>127.1031318284804</v>
      </c>
      <c r="U53">
        <f t="shared" si="14"/>
        <v>15.699999999999983</v>
      </c>
      <c r="V53">
        <f t="shared" ca="1" si="6"/>
        <v>109.89678030303031</v>
      </c>
      <c r="W53">
        <f t="shared" ca="1" si="7"/>
        <v>110.93000000000004</v>
      </c>
      <c r="X53">
        <f t="shared" ref="X53:X116" ca="1" si="19">IF(AND(U53&gt;=$K$35-0.5, U53&lt;=$K$35+0.5),IF(AND(U53&lt;=$K$35,U53&gt;0),V53,W53),0)</f>
        <v>109.89678030303031</v>
      </c>
      <c r="Y53">
        <f ca="1">IF(AND(X53&gt;0,SUM($Y$4:Y52)=0),ROW(),0)</f>
        <v>0</v>
      </c>
      <c r="Z53">
        <f t="shared" ca="1" si="8"/>
        <v>109.88942439691164</v>
      </c>
      <c r="AA53">
        <f t="shared" ca="1" si="9"/>
        <v>109.88942439691164</v>
      </c>
    </row>
    <row r="54" spans="13:27" x14ac:dyDescent="0.2">
      <c r="M54">
        <f t="shared" si="10"/>
        <v>15.799999999999983</v>
      </c>
      <c r="N54">
        <f t="shared" ca="1" si="1"/>
        <v>127.34659090909088</v>
      </c>
      <c r="O54">
        <f t="shared" ca="1" si="2"/>
        <v>128.25000000000003</v>
      </c>
      <c r="P54">
        <f t="shared" ca="1" si="18"/>
        <v>127.34659090909088</v>
      </c>
      <c r="Q54">
        <f ca="1">IF(AND(P54&gt;0,SUM($Q$4:Q53)=0),ROW(),0)</f>
        <v>0</v>
      </c>
      <c r="R54">
        <f t="shared" ca="1" si="4"/>
        <v>127.36922827421222</v>
      </c>
      <c r="S54">
        <f t="shared" ca="1" si="5"/>
        <v>127.36922827421222</v>
      </c>
      <c r="U54">
        <f t="shared" si="14"/>
        <v>15.799999999999983</v>
      </c>
      <c r="V54">
        <f t="shared" ca="1" si="6"/>
        <v>109.99772727272727</v>
      </c>
      <c r="W54">
        <f t="shared" ca="1" si="7"/>
        <v>110.70000000000005</v>
      </c>
      <c r="X54">
        <f t="shared" ca="1" si="19"/>
        <v>109.99772727272727</v>
      </c>
      <c r="Y54">
        <f ca="1">IF(AND(X54&gt;0,SUM($Y$4:Y53)=0),ROW(),0)</f>
        <v>0</v>
      </c>
      <c r="Z54">
        <f t="shared" ca="1" si="8"/>
        <v>110.0220516580157</v>
      </c>
      <c r="AA54">
        <f t="shared" ca="1" si="9"/>
        <v>110.0220516580157</v>
      </c>
    </row>
    <row r="55" spans="13:27" x14ac:dyDescent="0.2">
      <c r="M55">
        <f t="shared" si="10"/>
        <v>15.899999999999983</v>
      </c>
      <c r="N55">
        <f t="shared" ca="1" si="1"/>
        <v>127.57380681818178</v>
      </c>
      <c r="O55">
        <f t="shared" ca="1" si="2"/>
        <v>128.08500000000004</v>
      </c>
      <c r="P55">
        <f t="shared" ca="1" si="18"/>
        <v>127.57380681818178</v>
      </c>
      <c r="Q55">
        <f ca="1">IF(AND(P55&gt;0,SUM($Q$4:Q54)=0),ROW(),0)</f>
        <v>0</v>
      </c>
      <c r="R55">
        <f t="shared" ca="1" si="4"/>
        <v>127.60225772776175</v>
      </c>
      <c r="S55">
        <f t="shared" ca="1" si="5"/>
        <v>127.60225772776175</v>
      </c>
      <c r="U55">
        <f t="shared" si="14"/>
        <v>15.899999999999983</v>
      </c>
      <c r="V55">
        <f t="shared" ca="1" si="6"/>
        <v>110.09920454545455</v>
      </c>
      <c r="W55">
        <f t="shared" ca="1" si="7"/>
        <v>110.47000000000003</v>
      </c>
      <c r="X55">
        <f t="shared" ca="1" si="19"/>
        <v>110.09920454545455</v>
      </c>
      <c r="Y55">
        <f ca="1">IF(AND(X55&gt;0,SUM($Y$4:Y54)=0),ROW(),0)</f>
        <v>0</v>
      </c>
      <c r="Z55">
        <f t="shared" ca="1" si="8"/>
        <v>110.11757647257764</v>
      </c>
      <c r="AA55">
        <f t="shared" ca="1" si="9"/>
        <v>110.11757647257764</v>
      </c>
    </row>
    <row r="56" spans="13:27" x14ac:dyDescent="0.2">
      <c r="M56">
        <f t="shared" si="10"/>
        <v>15.999999999999982</v>
      </c>
      <c r="N56">
        <f t="shared" ca="1" si="1"/>
        <v>127.80181818181813</v>
      </c>
      <c r="O56">
        <f t="shared" ca="1" si="2"/>
        <v>127.92000000000003</v>
      </c>
      <c r="P56">
        <f t="shared" ca="1" si="18"/>
        <v>127.80181818181813</v>
      </c>
      <c r="Q56">
        <f ca="1">IF(AND(P56&gt;0,SUM($Q$4:Q55)=0),ROW(),0)</f>
        <v>0</v>
      </c>
      <c r="R56">
        <f t="shared" ca="1" si="4"/>
        <v>127.73946812318172</v>
      </c>
      <c r="S56">
        <f t="shared" ca="1" si="5"/>
        <v>127.73946812318172</v>
      </c>
      <c r="U56">
        <f t="shared" si="14"/>
        <v>15.999999999999982</v>
      </c>
      <c r="V56">
        <f t="shared" ca="1" si="6"/>
        <v>110.20121212121212</v>
      </c>
      <c r="W56">
        <f t="shared" ca="1" si="7"/>
        <v>110.24000000000004</v>
      </c>
      <c r="X56">
        <f t="shared" ca="1" si="19"/>
        <v>110.20121212121212</v>
      </c>
      <c r="Y56">
        <f ca="1">IF(AND(X56&gt;0,SUM($Y$4:Y55)=0),ROW(),0)</f>
        <v>0</v>
      </c>
      <c r="Z56">
        <f t="shared" ca="1" si="8"/>
        <v>110.12676833872683</v>
      </c>
      <c r="AA56">
        <f t="shared" ca="1" si="9"/>
        <v>110.12676833872683</v>
      </c>
    </row>
    <row r="57" spans="13:27" x14ac:dyDescent="0.2">
      <c r="M57">
        <f t="shared" si="10"/>
        <v>16.099999999999984</v>
      </c>
      <c r="N57">
        <f t="shared" ca="1" si="1"/>
        <v>128.03062499999996</v>
      </c>
      <c r="O57">
        <f t="shared" ca="1" si="2"/>
        <v>127.75500000000002</v>
      </c>
      <c r="P57">
        <f t="shared" ca="1" si="18"/>
        <v>127.75500000000002</v>
      </c>
      <c r="Q57">
        <f ca="1">IF(AND(P57&gt;0,SUM($Q$4:Q56)=0),ROW(),0)</f>
        <v>0</v>
      </c>
      <c r="R57">
        <f t="shared" ca="1" si="4"/>
        <v>127.74985471402761</v>
      </c>
      <c r="S57">
        <f t="shared" ca="1" si="5"/>
        <v>127.74985471402761</v>
      </c>
      <c r="U57">
        <f t="shared" si="14"/>
        <v>16.099999999999984</v>
      </c>
      <c r="V57">
        <f t="shared" ca="1" si="6"/>
        <v>110.30375000000001</v>
      </c>
      <c r="W57">
        <f t="shared" ca="1" si="7"/>
        <v>110.01000000000003</v>
      </c>
      <c r="X57">
        <f t="shared" ca="1" si="19"/>
        <v>110.01000000000003</v>
      </c>
      <c r="Y57">
        <f ca="1">IF(AND(X57&gt;0,SUM($Y$4:Y56)=0),ROW(),0)</f>
        <v>0</v>
      </c>
      <c r="Z57">
        <f t="shared" ca="1" si="8"/>
        <v>110.02713014127221</v>
      </c>
      <c r="AA57">
        <f t="shared" ca="1" si="9"/>
        <v>110.02713014127221</v>
      </c>
    </row>
    <row r="58" spans="13:27" x14ac:dyDescent="0.2">
      <c r="M58">
        <f t="shared" si="10"/>
        <v>16.199999999999985</v>
      </c>
      <c r="N58">
        <f t="shared" ca="1" si="1"/>
        <v>128.26022727272724</v>
      </c>
      <c r="O58">
        <f t="shared" ca="1" si="2"/>
        <v>127.59000000000003</v>
      </c>
      <c r="P58">
        <f t="shared" ca="1" si="18"/>
        <v>127.59000000000003</v>
      </c>
      <c r="Q58">
        <f ca="1">IF(AND(P58&gt;0,SUM($Q$4:Q57)=0),ROW(),0)</f>
        <v>0</v>
      </c>
      <c r="R58">
        <f t="shared" ca="1" si="4"/>
        <v>127.63583539484534</v>
      </c>
      <c r="S58">
        <f t="shared" ca="1" si="5"/>
        <v>127.63583539484534</v>
      </c>
      <c r="U58">
        <f t="shared" si="14"/>
        <v>16.199999999999985</v>
      </c>
      <c r="V58">
        <f t="shared" ca="1" si="6"/>
        <v>110.40681818181818</v>
      </c>
      <c r="W58">
        <f t="shared" ca="1" si="7"/>
        <v>109.78000000000003</v>
      </c>
      <c r="X58">
        <f t="shared" ca="1" si="19"/>
        <v>109.78000000000003</v>
      </c>
      <c r="Y58">
        <f ca="1">IF(AND(X58&gt;0,SUM($Y$4:Y57)=0),ROW(),0)</f>
        <v>0</v>
      </c>
      <c r="Z58">
        <f t="shared" ca="1" si="8"/>
        <v>109.82430357288104</v>
      </c>
      <c r="AA58">
        <f t="shared" ca="1" si="9"/>
        <v>109.82430357288104</v>
      </c>
    </row>
    <row r="59" spans="13:27" x14ac:dyDescent="0.2">
      <c r="M59">
        <f t="shared" si="10"/>
        <v>16.299999999999986</v>
      </c>
      <c r="N59">
        <f t="shared" ca="1" si="1"/>
        <v>128.49062499999997</v>
      </c>
      <c r="O59">
        <f t="shared" ca="1" si="2"/>
        <v>127.42500000000003</v>
      </c>
      <c r="P59">
        <f t="shared" ca="1" si="18"/>
        <v>127.42500000000003</v>
      </c>
      <c r="Q59">
        <f ca="1">IF(AND(P59&gt;0,SUM($Q$4:Q58)=0),ROW(),0)</f>
        <v>0</v>
      </c>
      <c r="R59">
        <f t="shared" ca="1" si="4"/>
        <v>127.43495248735417</v>
      </c>
      <c r="S59">
        <f t="shared" ca="1" si="5"/>
        <v>127.43495248735417</v>
      </c>
      <c r="U59">
        <f t="shared" si="14"/>
        <v>16.299999999999986</v>
      </c>
      <c r="V59">
        <f t="shared" ca="1" si="6"/>
        <v>110.51041666666667</v>
      </c>
      <c r="W59">
        <f t="shared" ca="1" si="7"/>
        <v>109.55000000000003</v>
      </c>
      <c r="X59">
        <f t="shared" ca="1" si="19"/>
        <v>109.55000000000003</v>
      </c>
      <c r="Y59">
        <f ca="1">IF(AND(X59&gt;0,SUM($Y$4:Y58)=0),ROW(),0)</f>
        <v>0</v>
      </c>
      <c r="Z59">
        <f t="shared" ca="1" si="8"/>
        <v>109.55349672364537</v>
      </c>
      <c r="AA59">
        <f t="shared" ca="1" si="9"/>
        <v>109.55349672364537</v>
      </c>
    </row>
    <row r="60" spans="13:27" x14ac:dyDescent="0.2">
      <c r="M60">
        <f t="shared" si="10"/>
        <v>16.399999999999988</v>
      </c>
      <c r="N60">
        <f t="shared" ca="1" si="1"/>
        <v>128.72181818181815</v>
      </c>
      <c r="O60">
        <f t="shared" ca="1" si="2"/>
        <v>127.26000000000002</v>
      </c>
      <c r="P60">
        <f t="shared" ca="1" si="18"/>
        <v>127.26000000000002</v>
      </c>
      <c r="Q60">
        <f ca="1">IF(AND(P60&gt;0,SUM($Q$4:Q59)=0),ROW(),0)</f>
        <v>0</v>
      </c>
      <c r="R60">
        <f t="shared" ca="1" si="4"/>
        <v>127.22160099947359</v>
      </c>
      <c r="S60">
        <f t="shared" ca="1" si="5"/>
        <v>127.22160099947359</v>
      </c>
      <c r="U60">
        <f t="shared" si="14"/>
        <v>16.399999999999988</v>
      </c>
      <c r="V60">
        <f t="shared" ca="1" si="6"/>
        <v>110.61454545454546</v>
      </c>
      <c r="W60">
        <f t="shared" ca="1" si="7"/>
        <v>109.32000000000002</v>
      </c>
      <c r="X60">
        <f t="shared" ca="1" si="19"/>
        <v>109.32000000000002</v>
      </c>
      <c r="Y60">
        <f ca="1">IF(AND(X60&gt;0,SUM($Y$4:Y59)=0),ROW(),0)</f>
        <v>0</v>
      </c>
      <c r="Z60">
        <f t="shared" ca="1" si="8"/>
        <v>109.2809338622028</v>
      </c>
      <c r="AA60">
        <f t="shared" ca="1" si="9"/>
        <v>109.2809338622028</v>
      </c>
    </row>
    <row r="61" spans="13:27" x14ac:dyDescent="0.2">
      <c r="M61">
        <f t="shared" si="10"/>
        <v>16.499999999999989</v>
      </c>
      <c r="N61">
        <f t="shared" ca="1" si="1"/>
        <v>128.95380681818179</v>
      </c>
      <c r="O61">
        <f t="shared" ca="1" si="2"/>
        <v>127.09500000000003</v>
      </c>
      <c r="P61">
        <f t="shared" ca="1" si="18"/>
        <v>127.09500000000003</v>
      </c>
      <c r="Q61">
        <f ca="1">IF(AND(P61&gt;0,SUM($Q$4:Q60)=0),ROW(),0)</f>
        <v>0</v>
      </c>
      <c r="R61">
        <f t="shared" ca="1" si="4"/>
        <v>127.10878334112931</v>
      </c>
      <c r="S61">
        <f t="shared" ca="1" si="5"/>
        <v>127.10878334112931</v>
      </c>
      <c r="U61">
        <f t="shared" si="14"/>
        <v>16.499999999999989</v>
      </c>
      <c r="V61">
        <f t="shared" ca="1" si="6"/>
        <v>110.71920454545456</v>
      </c>
      <c r="W61">
        <f t="shared" ca="1" si="7"/>
        <v>109.09000000000002</v>
      </c>
      <c r="X61">
        <f t="shared" ca="1" si="19"/>
        <v>109.09000000000002</v>
      </c>
      <c r="Y61">
        <f ca="1">IF(AND(X61&gt;0,SUM($Y$4:Y60)=0),ROW(),0)</f>
        <v>0</v>
      </c>
      <c r="Z61">
        <f t="shared" ca="1" si="8"/>
        <v>109.10532737837639</v>
      </c>
      <c r="AA61">
        <f t="shared" ca="1" si="9"/>
        <v>109.10532737837639</v>
      </c>
    </row>
    <row r="62" spans="13:27" x14ac:dyDescent="0.2">
      <c r="M62">
        <f t="shared" si="10"/>
        <v>16.599999999999991</v>
      </c>
      <c r="N62">
        <f t="shared" ca="1" si="1"/>
        <v>129.18659090909088</v>
      </c>
      <c r="O62">
        <f t="shared" ca="1" si="2"/>
        <v>126.93000000000002</v>
      </c>
      <c r="P62">
        <f t="shared" ca="1" si="3"/>
        <v>0</v>
      </c>
      <c r="Q62">
        <f ca="1">IF(AND(P62&gt;0,SUM($Q$4:Q61)=0),ROW(),0)</f>
        <v>0</v>
      </c>
      <c r="R62">
        <f t="shared" ca="1" si="4"/>
        <v>0</v>
      </c>
      <c r="S62">
        <f t="shared" ca="1" si="5"/>
        <v>126.93000000000002</v>
      </c>
      <c r="U62">
        <f t="shared" si="14"/>
        <v>16.599999999999991</v>
      </c>
      <c r="V62">
        <f t="shared" ca="1" si="6"/>
        <v>110.82439393939396</v>
      </c>
      <c r="W62">
        <f t="shared" ca="1" si="7"/>
        <v>108.86000000000001</v>
      </c>
      <c r="X62">
        <f t="shared" ca="1" si="19"/>
        <v>0</v>
      </c>
      <c r="Y62">
        <f ca="1">IF(AND(X62&gt;0,SUM($Y$4:Y61)=0),ROW(),0)</f>
        <v>0</v>
      </c>
      <c r="Z62">
        <f t="shared" ca="1" si="8"/>
        <v>0</v>
      </c>
      <c r="AA62">
        <f t="shared" ca="1" si="9"/>
        <v>108.86000000000001</v>
      </c>
    </row>
    <row r="63" spans="13:27" x14ac:dyDescent="0.2">
      <c r="M63">
        <f t="shared" si="10"/>
        <v>16.699999999999992</v>
      </c>
      <c r="N63">
        <f t="shared" ca="1" si="1"/>
        <v>129.42017045454543</v>
      </c>
      <c r="O63">
        <f t="shared" ca="1" si="2"/>
        <v>126.76500000000001</v>
      </c>
      <c r="P63">
        <f t="shared" ca="1" si="3"/>
        <v>0</v>
      </c>
      <c r="Q63">
        <f ca="1">IF(AND(P63&gt;0,SUM($Q$4:Q62)=0),ROW(),0)</f>
        <v>0</v>
      </c>
      <c r="R63">
        <f t="shared" ca="1" si="4"/>
        <v>0</v>
      </c>
      <c r="S63">
        <f t="shared" ca="1" si="5"/>
        <v>126.76500000000001</v>
      </c>
      <c r="U63">
        <f t="shared" si="14"/>
        <v>16.699999999999992</v>
      </c>
      <c r="V63">
        <f t="shared" ca="1" si="6"/>
        <v>110.93011363636364</v>
      </c>
      <c r="W63">
        <f t="shared" ca="1" si="7"/>
        <v>108.63000000000001</v>
      </c>
      <c r="X63">
        <f t="shared" ca="1" si="19"/>
        <v>0</v>
      </c>
      <c r="Y63">
        <f ca="1">IF(AND(X63&gt;0,SUM($Y$4:Y62)=0),ROW(),0)</f>
        <v>0</v>
      </c>
      <c r="Z63">
        <f t="shared" ca="1" si="8"/>
        <v>0</v>
      </c>
      <c r="AA63">
        <f t="shared" ca="1" si="9"/>
        <v>108.63000000000001</v>
      </c>
    </row>
    <row r="64" spans="13:27" x14ac:dyDescent="0.2">
      <c r="M64">
        <f t="shared" si="10"/>
        <v>16.799999999999994</v>
      </c>
      <c r="N64">
        <f t="shared" ca="1" si="1"/>
        <v>129.65454545454543</v>
      </c>
      <c r="O64">
        <f t="shared" ca="1" si="2"/>
        <v>126.60000000000001</v>
      </c>
      <c r="P64">
        <f t="shared" ca="1" si="3"/>
        <v>0</v>
      </c>
      <c r="Q64">
        <f ca="1">IF(AND(P64&gt;0,SUM($Q$4:Q63)=0),ROW(),0)</f>
        <v>0</v>
      </c>
      <c r="R64">
        <f t="shared" ca="1" si="4"/>
        <v>0</v>
      </c>
      <c r="S64">
        <f t="shared" ca="1" si="5"/>
        <v>126.60000000000001</v>
      </c>
      <c r="U64">
        <f t="shared" si="14"/>
        <v>16.799999999999994</v>
      </c>
      <c r="V64">
        <f t="shared" ca="1" si="6"/>
        <v>111.03636363636365</v>
      </c>
      <c r="W64">
        <f t="shared" ca="1" si="7"/>
        <v>108.4</v>
      </c>
      <c r="X64">
        <f t="shared" ca="1" si="19"/>
        <v>0</v>
      </c>
      <c r="Y64">
        <f ca="1">IF(AND(X64&gt;0,SUM($Y$4:Y63)=0),ROW(),0)</f>
        <v>0</v>
      </c>
      <c r="Z64">
        <f t="shared" ca="1" si="8"/>
        <v>0</v>
      </c>
      <c r="AA64">
        <f t="shared" ca="1" si="9"/>
        <v>108.4</v>
      </c>
    </row>
    <row r="65" spans="13:27" x14ac:dyDescent="0.2">
      <c r="M65">
        <f t="shared" si="10"/>
        <v>16.899999999999995</v>
      </c>
      <c r="N65">
        <f t="shared" ca="1" si="1"/>
        <v>129.88971590909091</v>
      </c>
      <c r="O65">
        <f t="shared" ca="1" si="2"/>
        <v>126.435</v>
      </c>
      <c r="P65">
        <f t="shared" ca="1" si="3"/>
        <v>0</v>
      </c>
      <c r="Q65">
        <f ca="1">IF(AND(P65&gt;0,SUM($Q$4:Q64)=0),ROW(),0)</f>
        <v>0</v>
      </c>
      <c r="R65">
        <f t="shared" ca="1" si="4"/>
        <v>0</v>
      </c>
      <c r="S65">
        <f t="shared" ca="1" si="5"/>
        <v>126.435</v>
      </c>
      <c r="U65">
        <f t="shared" si="14"/>
        <v>16.899999999999995</v>
      </c>
      <c r="V65">
        <f t="shared" ca="1" si="6"/>
        <v>111.14314393939395</v>
      </c>
      <c r="W65">
        <f t="shared" ca="1" si="7"/>
        <v>108.17</v>
      </c>
      <c r="X65">
        <f t="shared" ca="1" si="19"/>
        <v>0</v>
      </c>
      <c r="Y65">
        <f ca="1">IF(AND(X65&gt;0,SUM($Y$4:Y64)=0),ROW(),0)</f>
        <v>0</v>
      </c>
      <c r="Z65">
        <f t="shared" ca="1" si="8"/>
        <v>0</v>
      </c>
      <c r="AA65">
        <f t="shared" ca="1" si="9"/>
        <v>108.17</v>
      </c>
    </row>
    <row r="66" spans="13:27" x14ac:dyDescent="0.2">
      <c r="M66">
        <f t="shared" si="10"/>
        <v>16.999999999999996</v>
      </c>
      <c r="N66">
        <f t="shared" ca="1" si="1"/>
        <v>130.12568181818182</v>
      </c>
      <c r="O66">
        <f t="shared" ca="1" si="2"/>
        <v>126.27000000000001</v>
      </c>
      <c r="P66">
        <f t="shared" ca="1" si="3"/>
        <v>0</v>
      </c>
      <c r="Q66">
        <f ca="1">IF(AND(P66&gt;0,SUM($Q$4:Q65)=0),ROW(),0)</f>
        <v>0</v>
      </c>
      <c r="R66">
        <f t="shared" ca="1" si="4"/>
        <v>0</v>
      </c>
      <c r="S66">
        <f t="shared" ca="1" si="5"/>
        <v>126.27000000000001</v>
      </c>
      <c r="U66">
        <f t="shared" si="14"/>
        <v>16.999999999999996</v>
      </c>
      <c r="V66">
        <f t="shared" ca="1" si="6"/>
        <v>111.25045454545456</v>
      </c>
      <c r="W66">
        <f t="shared" ca="1" si="7"/>
        <v>107.94</v>
      </c>
      <c r="X66">
        <f t="shared" ca="1" si="19"/>
        <v>0</v>
      </c>
      <c r="Y66">
        <f ca="1">IF(AND(X66&gt;0,SUM($Y$4:Y65)=0),ROW(),0)</f>
        <v>0</v>
      </c>
      <c r="Z66">
        <f t="shared" ca="1" si="8"/>
        <v>0</v>
      </c>
      <c r="AA66">
        <f t="shared" ca="1" si="9"/>
        <v>107.94</v>
      </c>
    </row>
    <row r="67" spans="13:27" x14ac:dyDescent="0.2">
      <c r="M67">
        <f t="shared" si="10"/>
        <v>17.099999999999998</v>
      </c>
      <c r="N67">
        <f t="shared" ca="1" si="1"/>
        <v>130.36244318181818</v>
      </c>
      <c r="O67">
        <f t="shared" ca="1" si="2"/>
        <v>126.105</v>
      </c>
      <c r="P67">
        <f t="shared" ca="1" si="3"/>
        <v>0</v>
      </c>
      <c r="Q67">
        <f ca="1">IF(AND(P67&gt;0,SUM($Q$4:Q66)=0),ROW(),0)</f>
        <v>0</v>
      </c>
      <c r="R67">
        <f t="shared" ca="1" si="4"/>
        <v>0</v>
      </c>
      <c r="S67">
        <f t="shared" ca="1" si="5"/>
        <v>126.105</v>
      </c>
      <c r="U67">
        <f t="shared" si="14"/>
        <v>17.099999999999998</v>
      </c>
      <c r="V67">
        <f t="shared" ca="1" si="6"/>
        <v>111.35829545454547</v>
      </c>
      <c r="W67">
        <f t="shared" ca="1" si="7"/>
        <v>107.71</v>
      </c>
      <c r="X67">
        <f t="shared" ca="1" si="19"/>
        <v>0</v>
      </c>
      <c r="Y67">
        <f ca="1">IF(AND(X67&gt;0,SUM($Y$4:Y66)=0),ROW(),0)</f>
        <v>0</v>
      </c>
      <c r="Z67">
        <f t="shared" ca="1" si="8"/>
        <v>0</v>
      </c>
      <c r="AA67">
        <f t="shared" ca="1" si="9"/>
        <v>107.71</v>
      </c>
    </row>
    <row r="68" spans="13:27" x14ac:dyDescent="0.2">
      <c r="M68">
        <f t="shared" si="10"/>
        <v>17.2</v>
      </c>
      <c r="N68">
        <f t="shared" ca="1" si="1"/>
        <v>130.6</v>
      </c>
      <c r="O68">
        <f t="shared" ca="1" si="2"/>
        <v>125.94</v>
      </c>
      <c r="P68">
        <f t="shared" ca="1" si="3"/>
        <v>0</v>
      </c>
      <c r="Q68">
        <f ca="1">IF(AND(P68&gt;0,SUM($Q$4:Q67)=0),ROW(),0)</f>
        <v>0</v>
      </c>
      <c r="R68">
        <f t="shared" ca="1" si="4"/>
        <v>0</v>
      </c>
      <c r="S68">
        <f t="shared" ca="1" si="5"/>
        <v>125.94</v>
      </c>
      <c r="U68">
        <f t="shared" si="14"/>
        <v>17.2</v>
      </c>
      <c r="V68">
        <f t="shared" ca="1" si="6"/>
        <v>111.46666666666668</v>
      </c>
      <c r="W68">
        <f t="shared" ca="1" si="7"/>
        <v>107.47999999999999</v>
      </c>
      <c r="X68">
        <f t="shared" ca="1" si="19"/>
        <v>0</v>
      </c>
      <c r="Y68">
        <f ca="1">IF(AND(X68&gt;0,SUM($Y$4:Y67)=0),ROW(),0)</f>
        <v>0</v>
      </c>
      <c r="Z68">
        <f t="shared" ca="1" si="8"/>
        <v>0</v>
      </c>
      <c r="AA68">
        <f t="shared" ca="1" si="9"/>
        <v>107.47999999999999</v>
      </c>
    </row>
    <row r="69" spans="13:27" x14ac:dyDescent="0.2">
      <c r="M69">
        <f t="shared" si="10"/>
        <v>17.3</v>
      </c>
      <c r="N69">
        <f t="shared" ref="N69:N132" ca="1" si="20">IF(AND(M69&gt;0,M69&lt;=INDIRECT(ADDRESS(8,3+$J$18-1))+2),$C$27*M69*M69+$D$27*M69+$E$27,0)</f>
        <v>0</v>
      </c>
      <c r="O69">
        <f t="shared" ref="O69:O129" ca="1" si="21">IF(AND(M69&gt;0,M69&gt;=INDIRECT(ADDRESS(8,3+$J$18))-2),$C$28*M69*M69+$D$28*M69+$E$28,0)</f>
        <v>125.77500000000001</v>
      </c>
      <c r="P69">
        <f t="shared" ref="P69:P132" ca="1" si="22">IF(AND(M69&gt;=$K$27-0.5, M69&lt;=$K$27+0.5),IF(AND(M69&lt;=$K$27,M69&gt;0),N69,O69),0)</f>
        <v>0</v>
      </c>
      <c r="Q69">
        <f ca="1">IF(AND(P69&gt;0,SUM($Q$4:Q68)=0),ROW(),0)</f>
        <v>0</v>
      </c>
      <c r="R69">
        <f t="shared" ref="R69:R132" ca="1" si="23">IF(P69&gt;0,$C$31*M69^6+$D$31*M69^5+$E$31*M69^4+$F$31*M69^3+$G$31*M69^2+$H$31*M69+$I$31,0)</f>
        <v>0</v>
      </c>
      <c r="S69">
        <f t="shared" ref="S69:S132" ca="1" si="24">IF(M69&gt;0,IF(R69&gt;0,R69,IF(M69&lt;=$K$27,N69,O69)),0)</f>
        <v>125.77500000000001</v>
      </c>
      <c r="U69">
        <f t="shared" si="14"/>
        <v>17.3</v>
      </c>
      <c r="V69">
        <f t="shared" ref="V69:V132" ca="1" si="25">IF(AND(U69&gt;0,U69&lt;=INDIRECT(ADDRESS(8,3+$J$22-1))+2),$C$35*U69*U69+$D$35*U69+$E$35,0)</f>
        <v>0</v>
      </c>
      <c r="W69">
        <f t="shared" ref="W69:W132" ca="1" si="26">IF(AND(U69&gt;0,U69&gt;=INDIRECT(ADDRESS(8,3+$J$22))-2),$C$36*U69*U69+$D$36*U69+$E$36,0)</f>
        <v>107.24999999999999</v>
      </c>
      <c r="X69">
        <f t="shared" ca="1" si="19"/>
        <v>0</v>
      </c>
      <c r="Y69">
        <f ca="1">IF(AND(X69&gt;0,SUM($Y$4:Y68)=0),ROW(),0)</f>
        <v>0</v>
      </c>
      <c r="Z69">
        <f t="shared" ref="Z69:Z132" ca="1" si="27">IF(X69&gt;0,$C$39*U69^6+$D$39*U69^5+$E$39*U69^4+$F$39*U69^3+$G$39*U69^2+$H$39*U69+$I$39,0)</f>
        <v>0</v>
      </c>
      <c r="AA69">
        <f t="shared" ref="AA69:AA132" ca="1" si="28">IF(U69&gt;0,IF(Z69&gt;0,Z69,IF(U69&lt;=$K$35,V69,W69)),0)</f>
        <v>107.24999999999999</v>
      </c>
    </row>
    <row r="70" spans="13:27" x14ac:dyDescent="0.2">
      <c r="M70">
        <f t="shared" ref="M70:M129" si="29">IF(AND(M69&gt;0,M69&lt;=MAX($C$8:$H$8)),M69+0.1,0)</f>
        <v>17.400000000000002</v>
      </c>
      <c r="N70">
        <f t="shared" ca="1" si="20"/>
        <v>0</v>
      </c>
      <c r="O70">
        <f t="shared" ca="1" si="21"/>
        <v>125.61</v>
      </c>
      <c r="P70">
        <f t="shared" ca="1" si="22"/>
        <v>0</v>
      </c>
      <c r="Q70">
        <f ca="1">IF(AND(P70&gt;0,SUM($Q$4:Q69)=0),ROW(),0)</f>
        <v>0</v>
      </c>
      <c r="R70">
        <f t="shared" ca="1" si="23"/>
        <v>0</v>
      </c>
      <c r="S70">
        <f t="shared" ca="1" si="24"/>
        <v>125.61</v>
      </c>
      <c r="U70">
        <f t="shared" si="14"/>
        <v>17.400000000000002</v>
      </c>
      <c r="V70">
        <f t="shared" ca="1" si="25"/>
        <v>0</v>
      </c>
      <c r="W70">
        <f t="shared" ca="1" si="26"/>
        <v>107.01999999999998</v>
      </c>
      <c r="X70">
        <f t="shared" ca="1" si="19"/>
        <v>0</v>
      </c>
      <c r="Y70">
        <f ca="1">IF(AND(X70&gt;0,SUM($Y$4:Y69)=0),ROW(),0)</f>
        <v>0</v>
      </c>
      <c r="Z70">
        <f t="shared" ca="1" si="27"/>
        <v>0</v>
      </c>
      <c r="AA70">
        <f t="shared" ca="1" si="28"/>
        <v>107.01999999999998</v>
      </c>
    </row>
    <row r="71" spans="13:27" x14ac:dyDescent="0.2">
      <c r="M71">
        <f t="shared" si="29"/>
        <v>17.500000000000004</v>
      </c>
      <c r="N71">
        <f t="shared" ca="1" si="20"/>
        <v>0</v>
      </c>
      <c r="O71">
        <f t="shared" ca="1" si="21"/>
        <v>125.44499999999999</v>
      </c>
      <c r="P71">
        <f t="shared" ca="1" si="22"/>
        <v>0</v>
      </c>
      <c r="Q71">
        <f ca="1">IF(AND(P71&gt;0,SUM($Q$4:Q70)=0),ROW(),0)</f>
        <v>0</v>
      </c>
      <c r="R71">
        <f t="shared" ca="1" si="23"/>
        <v>0</v>
      </c>
      <c r="S71">
        <f t="shared" ca="1" si="24"/>
        <v>125.44499999999999</v>
      </c>
      <c r="U71">
        <f t="shared" si="14"/>
        <v>17.500000000000004</v>
      </c>
      <c r="V71">
        <f t="shared" ca="1" si="25"/>
        <v>0</v>
      </c>
      <c r="W71">
        <f t="shared" ca="1" si="26"/>
        <v>106.78999999999998</v>
      </c>
      <c r="X71">
        <f t="shared" ca="1" si="19"/>
        <v>0</v>
      </c>
      <c r="Y71">
        <f ca="1">IF(AND(X71&gt;0,SUM($Y$4:Y70)=0),ROW(),0)</f>
        <v>0</v>
      </c>
      <c r="Z71">
        <f t="shared" ca="1" si="27"/>
        <v>0</v>
      </c>
      <c r="AA71">
        <f t="shared" ca="1" si="28"/>
        <v>106.78999999999998</v>
      </c>
    </row>
    <row r="72" spans="13:27" x14ac:dyDescent="0.2">
      <c r="M72">
        <f t="shared" si="29"/>
        <v>17.600000000000005</v>
      </c>
      <c r="N72">
        <f t="shared" ca="1" si="20"/>
        <v>0</v>
      </c>
      <c r="O72">
        <f t="shared" ca="1" si="21"/>
        <v>125.28</v>
      </c>
      <c r="P72">
        <f t="shared" ca="1" si="22"/>
        <v>0</v>
      </c>
      <c r="Q72">
        <f ca="1">IF(AND(P72&gt;0,SUM($Q$4:Q71)=0),ROW(),0)</f>
        <v>0</v>
      </c>
      <c r="R72">
        <f t="shared" ca="1" si="23"/>
        <v>0</v>
      </c>
      <c r="S72">
        <f t="shared" ca="1" si="24"/>
        <v>125.28</v>
      </c>
      <c r="U72">
        <f t="shared" si="14"/>
        <v>17.600000000000005</v>
      </c>
      <c r="V72">
        <f t="shared" ca="1" si="25"/>
        <v>0</v>
      </c>
      <c r="W72">
        <f t="shared" ca="1" si="26"/>
        <v>106.55999999999997</v>
      </c>
      <c r="X72">
        <f t="shared" ca="1" si="19"/>
        <v>0</v>
      </c>
      <c r="Y72">
        <f ca="1">IF(AND(X72&gt;0,SUM($Y$4:Y71)=0),ROW(),0)</f>
        <v>0</v>
      </c>
      <c r="Z72">
        <f t="shared" ca="1" si="27"/>
        <v>0</v>
      </c>
      <c r="AA72">
        <f t="shared" ca="1" si="28"/>
        <v>106.55999999999997</v>
      </c>
    </row>
    <row r="73" spans="13:27" x14ac:dyDescent="0.2">
      <c r="M73">
        <f t="shared" si="29"/>
        <v>17.700000000000006</v>
      </c>
      <c r="N73">
        <f t="shared" ca="1" si="20"/>
        <v>0</v>
      </c>
      <c r="O73">
        <f t="shared" ca="1" si="21"/>
        <v>125.11499999999999</v>
      </c>
      <c r="P73">
        <f t="shared" ca="1" si="22"/>
        <v>0</v>
      </c>
      <c r="Q73">
        <f ca="1">IF(AND(P73&gt;0,SUM($Q$4:Q72)=0),ROW(),0)</f>
        <v>0</v>
      </c>
      <c r="R73">
        <f t="shared" ca="1" si="23"/>
        <v>0</v>
      </c>
      <c r="S73">
        <f t="shared" ca="1" si="24"/>
        <v>125.11499999999999</v>
      </c>
      <c r="U73">
        <f t="shared" ref="U73:U136" si="30">IF(AND(U72&gt;0,U72&lt;=MAX($C$8:$H$8)),U72+0.1,0)</f>
        <v>17.700000000000006</v>
      </c>
      <c r="V73">
        <f t="shared" ca="1" si="25"/>
        <v>0</v>
      </c>
      <c r="W73">
        <f t="shared" ca="1" si="26"/>
        <v>106.32999999999997</v>
      </c>
      <c r="X73">
        <f t="shared" ca="1" si="19"/>
        <v>0</v>
      </c>
      <c r="Y73">
        <f ca="1">IF(AND(X73&gt;0,SUM($Y$4:Y72)=0),ROW(),0)</f>
        <v>0</v>
      </c>
      <c r="Z73">
        <f t="shared" ca="1" si="27"/>
        <v>0</v>
      </c>
      <c r="AA73">
        <f t="shared" ca="1" si="28"/>
        <v>106.32999999999997</v>
      </c>
    </row>
    <row r="74" spans="13:27" x14ac:dyDescent="0.2">
      <c r="M74">
        <f t="shared" si="29"/>
        <v>17.800000000000008</v>
      </c>
      <c r="N74">
        <f t="shared" ca="1" si="20"/>
        <v>0</v>
      </c>
      <c r="O74">
        <f t="shared" ca="1" si="21"/>
        <v>124.94999999999999</v>
      </c>
      <c r="P74">
        <f t="shared" ca="1" si="22"/>
        <v>0</v>
      </c>
      <c r="Q74">
        <f ca="1">IF(AND(P74&gt;0,SUM($Q$4:Q73)=0),ROW(),0)</f>
        <v>0</v>
      </c>
      <c r="R74">
        <f t="shared" ca="1" si="23"/>
        <v>0</v>
      </c>
      <c r="S74">
        <f t="shared" ca="1" si="24"/>
        <v>124.94999999999999</v>
      </c>
      <c r="U74">
        <f t="shared" si="30"/>
        <v>17.800000000000008</v>
      </c>
      <c r="V74">
        <f t="shared" ca="1" si="25"/>
        <v>0</v>
      </c>
      <c r="W74">
        <f t="shared" ca="1" si="26"/>
        <v>106.09999999999997</v>
      </c>
      <c r="X74">
        <f t="shared" ca="1" si="19"/>
        <v>0</v>
      </c>
      <c r="Y74">
        <f ca="1">IF(AND(X74&gt;0,SUM($Y$4:Y73)=0),ROW(),0)</f>
        <v>0</v>
      </c>
      <c r="Z74">
        <f t="shared" ca="1" si="27"/>
        <v>0</v>
      </c>
      <c r="AA74">
        <f t="shared" ca="1" si="28"/>
        <v>106.09999999999997</v>
      </c>
    </row>
    <row r="75" spans="13:27" x14ac:dyDescent="0.2">
      <c r="M75">
        <f t="shared" si="29"/>
        <v>17.900000000000009</v>
      </c>
      <c r="N75">
        <f t="shared" ca="1" si="20"/>
        <v>0</v>
      </c>
      <c r="O75">
        <f t="shared" ca="1" si="21"/>
        <v>124.78499999999998</v>
      </c>
      <c r="P75">
        <f t="shared" ca="1" si="22"/>
        <v>0</v>
      </c>
      <c r="Q75">
        <f ca="1">IF(AND(P75&gt;0,SUM($Q$4:Q74)=0),ROW(),0)</f>
        <v>0</v>
      </c>
      <c r="R75">
        <f t="shared" ca="1" si="23"/>
        <v>0</v>
      </c>
      <c r="S75">
        <f t="shared" ca="1" si="24"/>
        <v>124.78499999999998</v>
      </c>
      <c r="U75">
        <f t="shared" si="30"/>
        <v>17.900000000000009</v>
      </c>
      <c r="V75">
        <f t="shared" ca="1" si="25"/>
        <v>0</v>
      </c>
      <c r="W75">
        <f t="shared" ca="1" si="26"/>
        <v>105.86999999999996</v>
      </c>
      <c r="X75">
        <f t="shared" ca="1" si="19"/>
        <v>0</v>
      </c>
      <c r="Y75">
        <f ca="1">IF(AND(X75&gt;0,SUM($Y$4:Y74)=0),ROW(),0)</f>
        <v>0</v>
      </c>
      <c r="Z75">
        <f t="shared" ca="1" si="27"/>
        <v>0</v>
      </c>
      <c r="AA75">
        <f t="shared" ca="1" si="28"/>
        <v>105.86999999999996</v>
      </c>
    </row>
    <row r="76" spans="13:27" x14ac:dyDescent="0.2">
      <c r="M76">
        <f t="shared" si="29"/>
        <v>18.000000000000011</v>
      </c>
      <c r="N76">
        <f t="shared" ca="1" si="20"/>
        <v>0</v>
      </c>
      <c r="O76">
        <f t="shared" ca="1" si="21"/>
        <v>124.61999999999999</v>
      </c>
      <c r="P76">
        <f t="shared" ca="1" si="22"/>
        <v>0</v>
      </c>
      <c r="Q76">
        <f ca="1">IF(AND(P76&gt;0,SUM($Q$4:Q75)=0),ROW(),0)</f>
        <v>0</v>
      </c>
      <c r="R76">
        <f t="shared" ca="1" si="23"/>
        <v>0</v>
      </c>
      <c r="S76">
        <f t="shared" ca="1" si="24"/>
        <v>124.61999999999999</v>
      </c>
      <c r="U76">
        <f t="shared" si="30"/>
        <v>18.000000000000011</v>
      </c>
      <c r="V76">
        <f t="shared" ca="1" si="25"/>
        <v>0</v>
      </c>
      <c r="W76">
        <f t="shared" ca="1" si="26"/>
        <v>105.63999999999996</v>
      </c>
      <c r="X76">
        <f t="shared" ca="1" si="19"/>
        <v>0</v>
      </c>
      <c r="Y76">
        <f ca="1">IF(AND(X76&gt;0,SUM($Y$4:Y75)=0),ROW(),0)</f>
        <v>0</v>
      </c>
      <c r="Z76">
        <f t="shared" ca="1" si="27"/>
        <v>0</v>
      </c>
      <c r="AA76">
        <f t="shared" ca="1" si="28"/>
        <v>105.63999999999996</v>
      </c>
    </row>
    <row r="77" spans="13:27" x14ac:dyDescent="0.2">
      <c r="M77">
        <f t="shared" si="29"/>
        <v>18.100000000000012</v>
      </c>
      <c r="N77">
        <f t="shared" ca="1" si="20"/>
        <v>0</v>
      </c>
      <c r="O77">
        <f t="shared" ca="1" si="21"/>
        <v>124.45499999999998</v>
      </c>
      <c r="P77">
        <f t="shared" ca="1" si="22"/>
        <v>0</v>
      </c>
      <c r="Q77">
        <f ca="1">IF(AND(P77&gt;0,SUM($Q$4:Q76)=0),ROW(),0)</f>
        <v>0</v>
      </c>
      <c r="R77">
        <f t="shared" ca="1" si="23"/>
        <v>0</v>
      </c>
      <c r="S77">
        <f t="shared" ca="1" si="24"/>
        <v>124.45499999999998</v>
      </c>
      <c r="U77">
        <f t="shared" si="30"/>
        <v>18.100000000000012</v>
      </c>
      <c r="V77">
        <f t="shared" ca="1" si="25"/>
        <v>0</v>
      </c>
      <c r="W77">
        <f t="shared" ca="1" si="26"/>
        <v>105.40999999999995</v>
      </c>
      <c r="X77">
        <f t="shared" ca="1" si="19"/>
        <v>0</v>
      </c>
      <c r="Y77">
        <f ca="1">IF(AND(X77&gt;0,SUM($Y$4:Y76)=0),ROW(),0)</f>
        <v>0</v>
      </c>
      <c r="Z77">
        <f t="shared" ca="1" si="27"/>
        <v>0</v>
      </c>
      <c r="AA77">
        <f t="shared" ca="1" si="28"/>
        <v>105.40999999999995</v>
      </c>
    </row>
    <row r="78" spans="13:27" x14ac:dyDescent="0.2">
      <c r="M78">
        <f t="shared" si="29"/>
        <v>18.200000000000014</v>
      </c>
      <c r="N78">
        <f t="shared" ca="1" si="20"/>
        <v>0</v>
      </c>
      <c r="O78">
        <f t="shared" ca="1" si="21"/>
        <v>124.28999999999998</v>
      </c>
      <c r="P78">
        <f t="shared" ca="1" si="22"/>
        <v>0</v>
      </c>
      <c r="Q78">
        <f ca="1">IF(AND(P78&gt;0,SUM($Q$4:Q77)=0),ROW(),0)</f>
        <v>0</v>
      </c>
      <c r="R78">
        <f t="shared" ca="1" si="23"/>
        <v>0</v>
      </c>
      <c r="S78">
        <f t="shared" ca="1" si="24"/>
        <v>124.28999999999998</v>
      </c>
      <c r="U78">
        <f t="shared" si="30"/>
        <v>18.200000000000014</v>
      </c>
      <c r="V78">
        <f t="shared" ca="1" si="25"/>
        <v>0</v>
      </c>
      <c r="W78">
        <f t="shared" ca="1" si="26"/>
        <v>105.17999999999995</v>
      </c>
      <c r="X78">
        <f t="shared" ca="1" si="19"/>
        <v>0</v>
      </c>
      <c r="Y78">
        <f ca="1">IF(AND(X78&gt;0,SUM($Y$4:Y77)=0),ROW(),0)</f>
        <v>0</v>
      </c>
      <c r="Z78">
        <f t="shared" ca="1" si="27"/>
        <v>0</v>
      </c>
      <c r="AA78">
        <f t="shared" ca="1" si="28"/>
        <v>105.17999999999995</v>
      </c>
    </row>
    <row r="79" spans="13:27" x14ac:dyDescent="0.2">
      <c r="M79">
        <f t="shared" si="29"/>
        <v>18.300000000000015</v>
      </c>
      <c r="N79">
        <f t="shared" ca="1" si="20"/>
        <v>0</v>
      </c>
      <c r="O79">
        <f t="shared" ca="1" si="21"/>
        <v>124.12499999999997</v>
      </c>
      <c r="P79">
        <f t="shared" ca="1" si="22"/>
        <v>0</v>
      </c>
      <c r="Q79">
        <f ca="1">IF(AND(P79&gt;0,SUM($Q$4:Q78)=0),ROW(),0)</f>
        <v>0</v>
      </c>
      <c r="R79">
        <f t="shared" ca="1" si="23"/>
        <v>0</v>
      </c>
      <c r="S79">
        <f t="shared" ca="1" si="24"/>
        <v>124.12499999999997</v>
      </c>
      <c r="U79">
        <f t="shared" si="30"/>
        <v>18.300000000000015</v>
      </c>
      <c r="V79">
        <f t="shared" ca="1" si="25"/>
        <v>0</v>
      </c>
      <c r="W79">
        <f t="shared" ca="1" si="26"/>
        <v>104.94999999999995</v>
      </c>
      <c r="X79">
        <f t="shared" ca="1" si="19"/>
        <v>0</v>
      </c>
      <c r="Y79">
        <f ca="1">IF(AND(X79&gt;0,SUM($Y$4:Y78)=0),ROW(),0)</f>
        <v>0</v>
      </c>
      <c r="Z79">
        <f t="shared" ca="1" si="27"/>
        <v>0</v>
      </c>
      <c r="AA79">
        <f t="shared" ca="1" si="28"/>
        <v>104.94999999999995</v>
      </c>
    </row>
    <row r="80" spans="13:27" x14ac:dyDescent="0.2">
      <c r="M80">
        <f t="shared" si="29"/>
        <v>18.400000000000016</v>
      </c>
      <c r="N80">
        <f t="shared" ca="1" si="20"/>
        <v>0</v>
      </c>
      <c r="O80">
        <f t="shared" ca="1" si="21"/>
        <v>123.95999999999998</v>
      </c>
      <c r="P80">
        <f t="shared" ca="1" si="22"/>
        <v>0</v>
      </c>
      <c r="Q80">
        <f ca="1">IF(AND(P80&gt;0,SUM($Q$4:Q79)=0),ROW(),0)</f>
        <v>0</v>
      </c>
      <c r="R80">
        <f t="shared" ca="1" si="23"/>
        <v>0</v>
      </c>
      <c r="S80">
        <f t="shared" ca="1" si="24"/>
        <v>123.95999999999998</v>
      </c>
      <c r="U80">
        <f t="shared" si="30"/>
        <v>18.400000000000016</v>
      </c>
      <c r="V80">
        <f t="shared" ca="1" si="25"/>
        <v>0</v>
      </c>
      <c r="W80">
        <f t="shared" ca="1" si="26"/>
        <v>104.71999999999994</v>
      </c>
      <c r="X80">
        <f t="shared" ca="1" si="19"/>
        <v>0</v>
      </c>
      <c r="Y80">
        <f ca="1">IF(AND(X80&gt;0,SUM($Y$4:Y79)=0),ROW(),0)</f>
        <v>0</v>
      </c>
      <c r="Z80">
        <f t="shared" ca="1" si="27"/>
        <v>0</v>
      </c>
      <c r="AA80">
        <f t="shared" ca="1" si="28"/>
        <v>104.71999999999994</v>
      </c>
    </row>
    <row r="81" spans="13:27" x14ac:dyDescent="0.2">
      <c r="M81">
        <f t="shared" si="29"/>
        <v>18.500000000000018</v>
      </c>
      <c r="N81">
        <f t="shared" ca="1" si="20"/>
        <v>0</v>
      </c>
      <c r="O81">
        <f t="shared" ca="1" si="21"/>
        <v>123.79499999999997</v>
      </c>
      <c r="P81">
        <f t="shared" ca="1" si="22"/>
        <v>0</v>
      </c>
      <c r="Q81">
        <f ca="1">IF(AND(P81&gt;0,SUM($Q$4:Q80)=0),ROW(),0)</f>
        <v>0</v>
      </c>
      <c r="R81">
        <f t="shared" ca="1" si="23"/>
        <v>0</v>
      </c>
      <c r="S81">
        <f t="shared" ca="1" si="24"/>
        <v>123.79499999999997</v>
      </c>
      <c r="U81">
        <f t="shared" si="30"/>
        <v>18.500000000000018</v>
      </c>
      <c r="V81">
        <f t="shared" ca="1" si="25"/>
        <v>0</v>
      </c>
      <c r="W81">
        <f t="shared" ca="1" si="26"/>
        <v>104.48999999999994</v>
      </c>
      <c r="X81">
        <f t="shared" ca="1" si="19"/>
        <v>0</v>
      </c>
      <c r="Y81">
        <f ca="1">IF(AND(X81&gt;0,SUM($Y$4:Y80)=0),ROW(),0)</f>
        <v>0</v>
      </c>
      <c r="Z81">
        <f t="shared" ca="1" si="27"/>
        <v>0</v>
      </c>
      <c r="AA81">
        <f t="shared" ca="1" si="28"/>
        <v>104.48999999999994</v>
      </c>
    </row>
    <row r="82" spans="13:27" x14ac:dyDescent="0.2">
      <c r="M82">
        <f t="shared" si="29"/>
        <v>18.600000000000019</v>
      </c>
      <c r="N82">
        <f t="shared" ca="1" si="20"/>
        <v>0</v>
      </c>
      <c r="O82">
        <f t="shared" ca="1" si="21"/>
        <v>123.62999999999997</v>
      </c>
      <c r="P82">
        <f t="shared" ca="1" si="22"/>
        <v>0</v>
      </c>
      <c r="Q82">
        <f ca="1">IF(AND(P82&gt;0,SUM($Q$4:Q81)=0),ROW(),0)</f>
        <v>0</v>
      </c>
      <c r="R82">
        <f t="shared" ca="1" si="23"/>
        <v>0</v>
      </c>
      <c r="S82">
        <f t="shared" ca="1" si="24"/>
        <v>123.62999999999997</v>
      </c>
      <c r="U82">
        <f t="shared" si="30"/>
        <v>18.600000000000019</v>
      </c>
      <c r="V82">
        <f t="shared" ca="1" si="25"/>
        <v>0</v>
      </c>
      <c r="W82">
        <f t="shared" ca="1" si="26"/>
        <v>104.25999999999993</v>
      </c>
      <c r="X82">
        <f t="shared" ca="1" si="19"/>
        <v>0</v>
      </c>
      <c r="Y82">
        <f ca="1">IF(AND(X82&gt;0,SUM($Y$4:Y81)=0),ROW(),0)</f>
        <v>0</v>
      </c>
      <c r="Z82">
        <f t="shared" ca="1" si="27"/>
        <v>0</v>
      </c>
      <c r="AA82">
        <f t="shared" ca="1" si="28"/>
        <v>104.25999999999993</v>
      </c>
    </row>
    <row r="83" spans="13:27" x14ac:dyDescent="0.2">
      <c r="M83">
        <f t="shared" si="29"/>
        <v>18.700000000000021</v>
      </c>
      <c r="N83">
        <f t="shared" ca="1" si="20"/>
        <v>0</v>
      </c>
      <c r="O83">
        <f t="shared" ca="1" si="21"/>
        <v>123.46499999999997</v>
      </c>
      <c r="P83">
        <f t="shared" ca="1" si="22"/>
        <v>0</v>
      </c>
      <c r="Q83">
        <f ca="1">IF(AND(P83&gt;0,SUM($Q$4:Q82)=0),ROW(),0)</f>
        <v>0</v>
      </c>
      <c r="R83">
        <f t="shared" ca="1" si="23"/>
        <v>0</v>
      </c>
      <c r="S83">
        <f t="shared" ca="1" si="24"/>
        <v>123.46499999999997</v>
      </c>
      <c r="U83">
        <f t="shared" si="30"/>
        <v>18.700000000000021</v>
      </c>
      <c r="V83">
        <f t="shared" ca="1" si="25"/>
        <v>0</v>
      </c>
      <c r="W83">
        <f t="shared" ca="1" si="26"/>
        <v>104.02999999999993</v>
      </c>
      <c r="X83">
        <f t="shared" ca="1" si="19"/>
        <v>0</v>
      </c>
      <c r="Y83">
        <f ca="1">IF(AND(X83&gt;0,SUM($Y$4:Y82)=0),ROW(),0)</f>
        <v>0</v>
      </c>
      <c r="Z83">
        <f t="shared" ca="1" si="27"/>
        <v>0</v>
      </c>
      <c r="AA83">
        <f t="shared" ca="1" si="28"/>
        <v>104.02999999999993</v>
      </c>
    </row>
    <row r="84" spans="13:27" x14ac:dyDescent="0.2">
      <c r="M84">
        <f t="shared" si="29"/>
        <v>18.800000000000022</v>
      </c>
      <c r="N84">
        <f t="shared" ca="1" si="20"/>
        <v>0</v>
      </c>
      <c r="O84">
        <f t="shared" ca="1" si="21"/>
        <v>123.29999999999997</v>
      </c>
      <c r="P84">
        <f t="shared" ca="1" si="22"/>
        <v>0</v>
      </c>
      <c r="Q84">
        <f ca="1">IF(AND(P84&gt;0,SUM($Q$4:Q83)=0),ROW(),0)</f>
        <v>0</v>
      </c>
      <c r="R84">
        <f t="shared" ca="1" si="23"/>
        <v>0</v>
      </c>
      <c r="S84">
        <f t="shared" ca="1" si="24"/>
        <v>123.29999999999997</v>
      </c>
      <c r="U84">
        <f t="shared" si="30"/>
        <v>18.800000000000022</v>
      </c>
      <c r="V84">
        <f t="shared" ca="1" si="25"/>
        <v>0</v>
      </c>
      <c r="W84">
        <f t="shared" ca="1" si="26"/>
        <v>103.79999999999993</v>
      </c>
      <c r="X84">
        <f t="shared" ca="1" si="19"/>
        <v>0</v>
      </c>
      <c r="Y84">
        <f ca="1">IF(AND(X84&gt;0,SUM($Y$4:Y83)=0),ROW(),0)</f>
        <v>0</v>
      </c>
      <c r="Z84">
        <f t="shared" ca="1" si="27"/>
        <v>0</v>
      </c>
      <c r="AA84">
        <f t="shared" ca="1" si="28"/>
        <v>103.79999999999993</v>
      </c>
    </row>
    <row r="85" spans="13:27" x14ac:dyDescent="0.2">
      <c r="M85">
        <f t="shared" si="29"/>
        <v>18.900000000000023</v>
      </c>
      <c r="N85">
        <f t="shared" ca="1" si="20"/>
        <v>0</v>
      </c>
      <c r="O85">
        <f t="shared" ca="1" si="21"/>
        <v>123.13499999999996</v>
      </c>
      <c r="P85">
        <f t="shared" ca="1" si="22"/>
        <v>0</v>
      </c>
      <c r="Q85">
        <f ca="1">IF(AND(P85&gt;0,SUM($Q$4:Q84)=0),ROW(),0)</f>
        <v>0</v>
      </c>
      <c r="R85">
        <f t="shared" ca="1" si="23"/>
        <v>0</v>
      </c>
      <c r="S85">
        <f t="shared" ca="1" si="24"/>
        <v>123.13499999999996</v>
      </c>
      <c r="U85">
        <f t="shared" si="30"/>
        <v>18.900000000000023</v>
      </c>
      <c r="V85">
        <f t="shared" ca="1" si="25"/>
        <v>0</v>
      </c>
      <c r="W85">
        <f t="shared" ca="1" si="26"/>
        <v>103.56999999999994</v>
      </c>
      <c r="X85">
        <f t="shared" ca="1" si="19"/>
        <v>0</v>
      </c>
      <c r="Y85">
        <f ca="1">IF(AND(X85&gt;0,SUM($Y$4:Y84)=0),ROW(),0)</f>
        <v>0</v>
      </c>
      <c r="Z85">
        <f t="shared" ca="1" si="27"/>
        <v>0</v>
      </c>
      <c r="AA85">
        <f t="shared" ca="1" si="28"/>
        <v>103.56999999999994</v>
      </c>
    </row>
    <row r="86" spans="13:27" x14ac:dyDescent="0.2">
      <c r="M86">
        <f t="shared" si="29"/>
        <v>0</v>
      </c>
      <c r="N86">
        <f t="shared" ca="1" si="20"/>
        <v>0</v>
      </c>
      <c r="O86">
        <f t="shared" ca="1" si="21"/>
        <v>0</v>
      </c>
      <c r="P86">
        <f t="shared" ca="1" si="22"/>
        <v>0</v>
      </c>
      <c r="Q86">
        <f ca="1">IF(AND(P86&gt;0,SUM($Q$4:Q85)=0),ROW(),0)</f>
        <v>0</v>
      </c>
      <c r="R86">
        <f t="shared" ca="1" si="23"/>
        <v>0</v>
      </c>
      <c r="S86">
        <f t="shared" si="24"/>
        <v>0</v>
      </c>
      <c r="U86">
        <f t="shared" si="30"/>
        <v>0</v>
      </c>
      <c r="V86">
        <f t="shared" ca="1" si="25"/>
        <v>0</v>
      </c>
      <c r="W86">
        <f t="shared" ca="1" si="26"/>
        <v>0</v>
      </c>
      <c r="X86">
        <f t="shared" ca="1" si="19"/>
        <v>0</v>
      </c>
      <c r="Y86">
        <f ca="1">IF(AND(X86&gt;0,SUM($Y$4:Y85)=0),ROW(),0)</f>
        <v>0</v>
      </c>
      <c r="Z86">
        <f t="shared" ca="1" si="27"/>
        <v>0</v>
      </c>
      <c r="AA86">
        <f t="shared" si="28"/>
        <v>0</v>
      </c>
    </row>
    <row r="87" spans="13:27" x14ac:dyDescent="0.2">
      <c r="M87">
        <f t="shared" si="29"/>
        <v>0</v>
      </c>
      <c r="N87">
        <f t="shared" ca="1" si="20"/>
        <v>0</v>
      </c>
      <c r="O87">
        <f t="shared" ca="1" si="21"/>
        <v>0</v>
      </c>
      <c r="P87">
        <f t="shared" ca="1" si="22"/>
        <v>0</v>
      </c>
      <c r="Q87">
        <f ca="1">IF(AND(P87&gt;0,SUM($Q$4:Q86)=0),ROW(),0)</f>
        <v>0</v>
      </c>
      <c r="R87">
        <f t="shared" ca="1" si="23"/>
        <v>0</v>
      </c>
      <c r="S87">
        <f t="shared" si="24"/>
        <v>0</v>
      </c>
      <c r="U87">
        <f t="shared" si="30"/>
        <v>0</v>
      </c>
      <c r="V87">
        <f t="shared" ca="1" si="25"/>
        <v>0</v>
      </c>
      <c r="W87">
        <f t="shared" ca="1" si="26"/>
        <v>0</v>
      </c>
      <c r="X87">
        <f t="shared" ca="1" si="19"/>
        <v>0</v>
      </c>
      <c r="Y87">
        <f ca="1">IF(AND(X87&gt;0,SUM($Y$4:Y86)=0),ROW(),0)</f>
        <v>0</v>
      </c>
      <c r="Z87">
        <f t="shared" ca="1" si="27"/>
        <v>0</v>
      </c>
      <c r="AA87">
        <f t="shared" si="28"/>
        <v>0</v>
      </c>
    </row>
    <row r="88" spans="13:27" x14ac:dyDescent="0.2">
      <c r="M88">
        <f t="shared" si="29"/>
        <v>0</v>
      </c>
      <c r="N88">
        <f t="shared" ca="1" si="20"/>
        <v>0</v>
      </c>
      <c r="O88">
        <f t="shared" ca="1" si="21"/>
        <v>0</v>
      </c>
      <c r="P88">
        <f t="shared" ca="1" si="22"/>
        <v>0</v>
      </c>
      <c r="Q88">
        <f ca="1">IF(AND(P88&gt;0,SUM($Q$4:Q87)=0),ROW(),0)</f>
        <v>0</v>
      </c>
      <c r="R88">
        <f t="shared" ca="1" si="23"/>
        <v>0</v>
      </c>
      <c r="S88">
        <f t="shared" si="24"/>
        <v>0</v>
      </c>
      <c r="U88">
        <f t="shared" si="30"/>
        <v>0</v>
      </c>
      <c r="V88">
        <f t="shared" ca="1" si="25"/>
        <v>0</v>
      </c>
      <c r="W88">
        <f t="shared" ca="1" si="26"/>
        <v>0</v>
      </c>
      <c r="X88">
        <f t="shared" ca="1" si="19"/>
        <v>0</v>
      </c>
      <c r="Y88">
        <f ca="1">IF(AND(X88&gt;0,SUM($Y$4:Y87)=0),ROW(),0)</f>
        <v>0</v>
      </c>
      <c r="Z88">
        <f t="shared" ca="1" si="27"/>
        <v>0</v>
      </c>
      <c r="AA88">
        <f t="shared" si="28"/>
        <v>0</v>
      </c>
    </row>
    <row r="89" spans="13:27" x14ac:dyDescent="0.2">
      <c r="M89">
        <f t="shared" si="29"/>
        <v>0</v>
      </c>
      <c r="N89">
        <f t="shared" ca="1" si="20"/>
        <v>0</v>
      </c>
      <c r="O89">
        <f t="shared" ca="1" si="21"/>
        <v>0</v>
      </c>
      <c r="P89">
        <f t="shared" ca="1" si="22"/>
        <v>0</v>
      </c>
      <c r="Q89">
        <f ca="1">IF(AND(P89&gt;0,SUM($Q$4:Q88)=0),ROW(),0)</f>
        <v>0</v>
      </c>
      <c r="R89">
        <f t="shared" ca="1" si="23"/>
        <v>0</v>
      </c>
      <c r="S89">
        <f t="shared" si="24"/>
        <v>0</v>
      </c>
      <c r="U89">
        <f t="shared" si="30"/>
        <v>0</v>
      </c>
      <c r="V89">
        <f t="shared" ca="1" si="25"/>
        <v>0</v>
      </c>
      <c r="W89">
        <f t="shared" ca="1" si="26"/>
        <v>0</v>
      </c>
      <c r="X89">
        <f t="shared" ca="1" si="19"/>
        <v>0</v>
      </c>
      <c r="Y89">
        <f ca="1">IF(AND(X89&gt;0,SUM($Y$4:Y88)=0),ROW(),0)</f>
        <v>0</v>
      </c>
      <c r="Z89">
        <f t="shared" ca="1" si="27"/>
        <v>0</v>
      </c>
      <c r="AA89">
        <f t="shared" si="28"/>
        <v>0</v>
      </c>
    </row>
    <row r="90" spans="13:27" x14ac:dyDescent="0.2">
      <c r="M90">
        <f t="shared" si="29"/>
        <v>0</v>
      </c>
      <c r="N90">
        <f t="shared" ca="1" si="20"/>
        <v>0</v>
      </c>
      <c r="O90">
        <f t="shared" ca="1" si="21"/>
        <v>0</v>
      </c>
      <c r="P90">
        <f t="shared" ca="1" si="22"/>
        <v>0</v>
      </c>
      <c r="Q90">
        <f ca="1">IF(AND(P90&gt;0,SUM($Q$4:Q89)=0),ROW(),0)</f>
        <v>0</v>
      </c>
      <c r="R90">
        <f t="shared" ca="1" si="23"/>
        <v>0</v>
      </c>
      <c r="S90">
        <f t="shared" si="24"/>
        <v>0</v>
      </c>
      <c r="U90">
        <f t="shared" si="30"/>
        <v>0</v>
      </c>
      <c r="V90">
        <f t="shared" ca="1" si="25"/>
        <v>0</v>
      </c>
      <c r="W90">
        <f t="shared" ca="1" si="26"/>
        <v>0</v>
      </c>
      <c r="X90">
        <f t="shared" ca="1" si="19"/>
        <v>0</v>
      </c>
      <c r="Y90">
        <f ca="1">IF(AND(X90&gt;0,SUM($Y$4:Y89)=0),ROW(),0)</f>
        <v>0</v>
      </c>
      <c r="Z90">
        <f t="shared" ca="1" si="27"/>
        <v>0</v>
      </c>
      <c r="AA90">
        <f t="shared" si="28"/>
        <v>0</v>
      </c>
    </row>
    <row r="91" spans="13:27" x14ac:dyDescent="0.2">
      <c r="M91">
        <f t="shared" si="29"/>
        <v>0</v>
      </c>
      <c r="N91">
        <f t="shared" ca="1" si="20"/>
        <v>0</v>
      </c>
      <c r="O91">
        <f t="shared" ca="1" si="21"/>
        <v>0</v>
      </c>
      <c r="P91">
        <f t="shared" ca="1" si="22"/>
        <v>0</v>
      </c>
      <c r="Q91">
        <f ca="1">IF(AND(P91&gt;0,SUM($Q$4:Q90)=0),ROW(),0)</f>
        <v>0</v>
      </c>
      <c r="R91">
        <f t="shared" ca="1" si="23"/>
        <v>0</v>
      </c>
      <c r="S91">
        <f t="shared" si="24"/>
        <v>0</v>
      </c>
      <c r="U91">
        <f t="shared" si="30"/>
        <v>0</v>
      </c>
      <c r="V91">
        <f t="shared" ca="1" si="25"/>
        <v>0</v>
      </c>
      <c r="W91">
        <f t="shared" ca="1" si="26"/>
        <v>0</v>
      </c>
      <c r="X91">
        <f t="shared" ca="1" si="19"/>
        <v>0</v>
      </c>
      <c r="Y91">
        <f ca="1">IF(AND(X91&gt;0,SUM($Y$4:Y90)=0),ROW(),0)</f>
        <v>0</v>
      </c>
      <c r="Z91">
        <f t="shared" ca="1" si="27"/>
        <v>0</v>
      </c>
      <c r="AA91">
        <f t="shared" si="28"/>
        <v>0</v>
      </c>
    </row>
    <row r="92" spans="13:27" x14ac:dyDescent="0.2">
      <c r="M92">
        <f t="shared" si="29"/>
        <v>0</v>
      </c>
      <c r="N92">
        <f t="shared" ca="1" si="20"/>
        <v>0</v>
      </c>
      <c r="O92">
        <f t="shared" ca="1" si="21"/>
        <v>0</v>
      </c>
      <c r="P92">
        <f t="shared" ca="1" si="22"/>
        <v>0</v>
      </c>
      <c r="Q92">
        <f ca="1">IF(AND(P92&gt;0,SUM($Q$4:Q91)=0),ROW(),0)</f>
        <v>0</v>
      </c>
      <c r="R92">
        <f t="shared" ca="1" si="23"/>
        <v>0</v>
      </c>
      <c r="S92">
        <f t="shared" si="24"/>
        <v>0</v>
      </c>
      <c r="U92">
        <f t="shared" si="30"/>
        <v>0</v>
      </c>
      <c r="V92">
        <f t="shared" ca="1" si="25"/>
        <v>0</v>
      </c>
      <c r="W92">
        <f t="shared" ca="1" si="26"/>
        <v>0</v>
      </c>
      <c r="X92">
        <f t="shared" ca="1" si="19"/>
        <v>0</v>
      </c>
      <c r="Y92">
        <f ca="1">IF(AND(X92&gt;0,SUM($Y$4:Y91)=0),ROW(),0)</f>
        <v>0</v>
      </c>
      <c r="Z92">
        <f t="shared" ca="1" si="27"/>
        <v>0</v>
      </c>
      <c r="AA92">
        <f t="shared" si="28"/>
        <v>0</v>
      </c>
    </row>
    <row r="93" spans="13:27" x14ac:dyDescent="0.2">
      <c r="M93">
        <f t="shared" si="29"/>
        <v>0</v>
      </c>
      <c r="N93">
        <f t="shared" ca="1" si="20"/>
        <v>0</v>
      </c>
      <c r="O93">
        <f t="shared" ca="1" si="21"/>
        <v>0</v>
      </c>
      <c r="P93">
        <f t="shared" ca="1" si="22"/>
        <v>0</v>
      </c>
      <c r="Q93">
        <f ca="1">IF(AND(P93&gt;0,SUM($Q$4:Q92)=0),ROW(),0)</f>
        <v>0</v>
      </c>
      <c r="R93">
        <f t="shared" ca="1" si="23"/>
        <v>0</v>
      </c>
      <c r="S93">
        <f t="shared" si="24"/>
        <v>0</v>
      </c>
      <c r="U93">
        <f t="shared" si="30"/>
        <v>0</v>
      </c>
      <c r="V93">
        <f t="shared" ca="1" si="25"/>
        <v>0</v>
      </c>
      <c r="W93">
        <f t="shared" ca="1" si="26"/>
        <v>0</v>
      </c>
      <c r="X93">
        <f t="shared" ca="1" si="19"/>
        <v>0</v>
      </c>
      <c r="Y93">
        <f ca="1">IF(AND(X93&gt;0,SUM($Y$4:Y92)=0),ROW(),0)</f>
        <v>0</v>
      </c>
      <c r="Z93">
        <f t="shared" ca="1" si="27"/>
        <v>0</v>
      </c>
      <c r="AA93">
        <f t="shared" si="28"/>
        <v>0</v>
      </c>
    </row>
    <row r="94" spans="13:27" x14ac:dyDescent="0.2">
      <c r="M94">
        <f t="shared" si="29"/>
        <v>0</v>
      </c>
      <c r="N94">
        <f t="shared" ca="1" si="20"/>
        <v>0</v>
      </c>
      <c r="O94">
        <f t="shared" ca="1" si="21"/>
        <v>0</v>
      </c>
      <c r="P94">
        <f t="shared" ca="1" si="22"/>
        <v>0</v>
      </c>
      <c r="Q94">
        <f ca="1">IF(AND(P94&gt;0,SUM($Q$4:Q93)=0),ROW(),0)</f>
        <v>0</v>
      </c>
      <c r="R94">
        <f t="shared" ca="1" si="23"/>
        <v>0</v>
      </c>
      <c r="S94">
        <f t="shared" si="24"/>
        <v>0</v>
      </c>
      <c r="U94">
        <f t="shared" si="30"/>
        <v>0</v>
      </c>
      <c r="V94">
        <f t="shared" ca="1" si="25"/>
        <v>0</v>
      </c>
      <c r="W94">
        <f t="shared" ca="1" si="26"/>
        <v>0</v>
      </c>
      <c r="X94">
        <f t="shared" ca="1" si="19"/>
        <v>0</v>
      </c>
      <c r="Y94">
        <f ca="1">IF(AND(X94&gt;0,SUM($Y$4:Y93)=0),ROW(),0)</f>
        <v>0</v>
      </c>
      <c r="Z94">
        <f t="shared" ca="1" si="27"/>
        <v>0</v>
      </c>
      <c r="AA94">
        <f t="shared" si="28"/>
        <v>0</v>
      </c>
    </row>
    <row r="95" spans="13:27" x14ac:dyDescent="0.2">
      <c r="M95">
        <f t="shared" si="29"/>
        <v>0</v>
      </c>
      <c r="N95">
        <f t="shared" ca="1" si="20"/>
        <v>0</v>
      </c>
      <c r="O95">
        <f t="shared" ca="1" si="21"/>
        <v>0</v>
      </c>
      <c r="P95">
        <f t="shared" ca="1" si="22"/>
        <v>0</v>
      </c>
      <c r="Q95">
        <f ca="1">IF(AND(P95&gt;0,SUM($Q$4:Q94)=0),ROW(),0)</f>
        <v>0</v>
      </c>
      <c r="R95">
        <f t="shared" ca="1" si="23"/>
        <v>0</v>
      </c>
      <c r="S95">
        <f t="shared" si="24"/>
        <v>0</v>
      </c>
      <c r="U95">
        <f t="shared" si="30"/>
        <v>0</v>
      </c>
      <c r="V95">
        <f t="shared" ca="1" si="25"/>
        <v>0</v>
      </c>
      <c r="W95">
        <f t="shared" ca="1" si="26"/>
        <v>0</v>
      </c>
      <c r="X95">
        <f t="shared" ca="1" si="19"/>
        <v>0</v>
      </c>
      <c r="Y95">
        <f ca="1">IF(AND(X95&gt;0,SUM($Y$4:Y94)=0),ROW(),0)</f>
        <v>0</v>
      </c>
      <c r="Z95">
        <f t="shared" ca="1" si="27"/>
        <v>0</v>
      </c>
      <c r="AA95">
        <f t="shared" si="28"/>
        <v>0</v>
      </c>
    </row>
    <row r="96" spans="13:27" x14ac:dyDescent="0.2">
      <c r="M96">
        <f t="shared" si="29"/>
        <v>0</v>
      </c>
      <c r="N96">
        <f t="shared" ca="1" si="20"/>
        <v>0</v>
      </c>
      <c r="O96">
        <f t="shared" ca="1" si="21"/>
        <v>0</v>
      </c>
      <c r="P96">
        <f t="shared" ca="1" si="22"/>
        <v>0</v>
      </c>
      <c r="Q96">
        <f ca="1">IF(AND(P96&gt;0,SUM($Q$4:Q95)=0),ROW(),0)</f>
        <v>0</v>
      </c>
      <c r="R96">
        <f t="shared" ca="1" si="23"/>
        <v>0</v>
      </c>
      <c r="S96">
        <f t="shared" si="24"/>
        <v>0</v>
      </c>
      <c r="U96">
        <f t="shared" si="30"/>
        <v>0</v>
      </c>
      <c r="V96">
        <f t="shared" ca="1" si="25"/>
        <v>0</v>
      </c>
      <c r="W96">
        <f t="shared" ca="1" si="26"/>
        <v>0</v>
      </c>
      <c r="X96">
        <f t="shared" ca="1" si="19"/>
        <v>0</v>
      </c>
      <c r="Y96">
        <f ca="1">IF(AND(X96&gt;0,SUM($Y$4:Y95)=0),ROW(),0)</f>
        <v>0</v>
      </c>
      <c r="Z96">
        <f t="shared" ca="1" si="27"/>
        <v>0</v>
      </c>
      <c r="AA96">
        <f t="shared" si="28"/>
        <v>0</v>
      </c>
    </row>
    <row r="97" spans="13:27" x14ac:dyDescent="0.2">
      <c r="M97">
        <f t="shared" si="29"/>
        <v>0</v>
      </c>
      <c r="N97">
        <f t="shared" ca="1" si="20"/>
        <v>0</v>
      </c>
      <c r="O97">
        <f t="shared" ca="1" si="21"/>
        <v>0</v>
      </c>
      <c r="P97">
        <f t="shared" ca="1" si="22"/>
        <v>0</v>
      </c>
      <c r="Q97">
        <f ca="1">IF(AND(P97&gt;0,SUM($Q$4:Q96)=0),ROW(),0)</f>
        <v>0</v>
      </c>
      <c r="R97">
        <f t="shared" ca="1" si="23"/>
        <v>0</v>
      </c>
      <c r="S97">
        <f t="shared" si="24"/>
        <v>0</v>
      </c>
      <c r="U97">
        <f t="shared" si="30"/>
        <v>0</v>
      </c>
      <c r="V97">
        <f t="shared" ca="1" si="25"/>
        <v>0</v>
      </c>
      <c r="W97">
        <f t="shared" ca="1" si="26"/>
        <v>0</v>
      </c>
      <c r="X97">
        <f t="shared" ca="1" si="19"/>
        <v>0</v>
      </c>
      <c r="Y97">
        <f ca="1">IF(AND(X97&gt;0,SUM($Y$4:Y96)=0),ROW(),0)</f>
        <v>0</v>
      </c>
      <c r="Z97">
        <f t="shared" ca="1" si="27"/>
        <v>0</v>
      </c>
      <c r="AA97">
        <f t="shared" si="28"/>
        <v>0</v>
      </c>
    </row>
    <row r="98" spans="13:27" x14ac:dyDescent="0.2">
      <c r="M98">
        <f t="shared" si="29"/>
        <v>0</v>
      </c>
      <c r="N98">
        <f t="shared" ca="1" si="20"/>
        <v>0</v>
      </c>
      <c r="O98">
        <f t="shared" ca="1" si="21"/>
        <v>0</v>
      </c>
      <c r="P98">
        <f t="shared" ca="1" si="22"/>
        <v>0</v>
      </c>
      <c r="Q98">
        <f ca="1">IF(AND(P98&gt;0,SUM($Q$4:Q97)=0),ROW(),0)</f>
        <v>0</v>
      </c>
      <c r="R98">
        <f t="shared" ca="1" si="23"/>
        <v>0</v>
      </c>
      <c r="S98">
        <f t="shared" si="24"/>
        <v>0</v>
      </c>
      <c r="U98">
        <f t="shared" si="30"/>
        <v>0</v>
      </c>
      <c r="V98">
        <f t="shared" ca="1" si="25"/>
        <v>0</v>
      </c>
      <c r="W98">
        <f t="shared" ca="1" si="26"/>
        <v>0</v>
      </c>
      <c r="X98">
        <f t="shared" ca="1" si="19"/>
        <v>0</v>
      </c>
      <c r="Y98">
        <f ca="1">IF(AND(X98&gt;0,SUM($Y$4:Y97)=0),ROW(),0)</f>
        <v>0</v>
      </c>
      <c r="Z98">
        <f t="shared" ca="1" si="27"/>
        <v>0</v>
      </c>
      <c r="AA98">
        <f t="shared" si="28"/>
        <v>0</v>
      </c>
    </row>
    <row r="99" spans="13:27" x14ac:dyDescent="0.2">
      <c r="M99">
        <f t="shared" si="29"/>
        <v>0</v>
      </c>
      <c r="N99">
        <f t="shared" ca="1" si="20"/>
        <v>0</v>
      </c>
      <c r="O99">
        <f t="shared" ca="1" si="21"/>
        <v>0</v>
      </c>
      <c r="P99">
        <f t="shared" ca="1" si="22"/>
        <v>0</v>
      </c>
      <c r="Q99">
        <f ca="1">IF(AND(P99&gt;0,SUM($Q$4:Q98)=0),ROW(),0)</f>
        <v>0</v>
      </c>
      <c r="R99">
        <f t="shared" ca="1" si="23"/>
        <v>0</v>
      </c>
      <c r="S99">
        <f t="shared" si="24"/>
        <v>0</v>
      </c>
      <c r="U99">
        <f t="shared" si="30"/>
        <v>0</v>
      </c>
      <c r="V99">
        <f t="shared" ca="1" si="25"/>
        <v>0</v>
      </c>
      <c r="W99">
        <f t="shared" ca="1" si="26"/>
        <v>0</v>
      </c>
      <c r="X99">
        <f t="shared" ca="1" si="19"/>
        <v>0</v>
      </c>
      <c r="Y99">
        <f ca="1">IF(AND(X99&gt;0,SUM($Y$4:Y98)=0),ROW(),0)</f>
        <v>0</v>
      </c>
      <c r="Z99">
        <f t="shared" ca="1" si="27"/>
        <v>0</v>
      </c>
      <c r="AA99">
        <f t="shared" si="28"/>
        <v>0</v>
      </c>
    </row>
    <row r="100" spans="13:27" x14ac:dyDescent="0.2">
      <c r="M100">
        <f t="shared" si="29"/>
        <v>0</v>
      </c>
      <c r="N100">
        <f t="shared" ca="1" si="20"/>
        <v>0</v>
      </c>
      <c r="O100">
        <f t="shared" ca="1" si="21"/>
        <v>0</v>
      </c>
      <c r="P100">
        <f t="shared" ca="1" si="22"/>
        <v>0</v>
      </c>
      <c r="Q100">
        <f ca="1">IF(AND(P100&gt;0,SUM($Q$4:Q99)=0),ROW(),0)</f>
        <v>0</v>
      </c>
      <c r="R100">
        <f t="shared" ca="1" si="23"/>
        <v>0</v>
      </c>
      <c r="S100">
        <f t="shared" si="24"/>
        <v>0</v>
      </c>
      <c r="U100">
        <f t="shared" si="30"/>
        <v>0</v>
      </c>
      <c r="V100">
        <f t="shared" ca="1" si="25"/>
        <v>0</v>
      </c>
      <c r="W100">
        <f t="shared" ca="1" si="26"/>
        <v>0</v>
      </c>
      <c r="X100">
        <f t="shared" ca="1" si="19"/>
        <v>0</v>
      </c>
      <c r="Y100">
        <f ca="1">IF(AND(X100&gt;0,SUM($Y$4:Y99)=0),ROW(),0)</f>
        <v>0</v>
      </c>
      <c r="Z100">
        <f t="shared" ca="1" si="27"/>
        <v>0</v>
      </c>
      <c r="AA100">
        <f t="shared" si="28"/>
        <v>0</v>
      </c>
    </row>
    <row r="101" spans="13:27" x14ac:dyDescent="0.2">
      <c r="M101">
        <f t="shared" si="29"/>
        <v>0</v>
      </c>
      <c r="N101">
        <f t="shared" ca="1" si="20"/>
        <v>0</v>
      </c>
      <c r="O101">
        <f t="shared" ca="1" si="21"/>
        <v>0</v>
      </c>
      <c r="P101">
        <f t="shared" ca="1" si="22"/>
        <v>0</v>
      </c>
      <c r="Q101">
        <f ca="1">IF(AND(P101&gt;0,SUM($Q$4:Q100)=0),ROW(),0)</f>
        <v>0</v>
      </c>
      <c r="R101">
        <f t="shared" ca="1" si="23"/>
        <v>0</v>
      </c>
      <c r="S101">
        <f t="shared" si="24"/>
        <v>0</v>
      </c>
      <c r="U101">
        <f t="shared" si="30"/>
        <v>0</v>
      </c>
      <c r="V101">
        <f t="shared" ca="1" si="25"/>
        <v>0</v>
      </c>
      <c r="W101">
        <f t="shared" ca="1" si="26"/>
        <v>0</v>
      </c>
      <c r="X101">
        <f t="shared" ca="1" si="19"/>
        <v>0</v>
      </c>
      <c r="Y101">
        <f ca="1">IF(AND(X101&gt;0,SUM($Y$4:Y100)=0),ROW(),0)</f>
        <v>0</v>
      </c>
      <c r="Z101">
        <f t="shared" ca="1" si="27"/>
        <v>0</v>
      </c>
      <c r="AA101">
        <f t="shared" si="28"/>
        <v>0</v>
      </c>
    </row>
    <row r="102" spans="13:27" x14ac:dyDescent="0.2">
      <c r="M102">
        <f t="shared" si="29"/>
        <v>0</v>
      </c>
      <c r="N102">
        <f t="shared" ca="1" si="20"/>
        <v>0</v>
      </c>
      <c r="O102">
        <f t="shared" ca="1" si="21"/>
        <v>0</v>
      </c>
      <c r="P102">
        <f t="shared" ca="1" si="22"/>
        <v>0</v>
      </c>
      <c r="Q102">
        <f ca="1">IF(AND(P102&gt;0,SUM($Q$4:Q101)=0),ROW(),0)</f>
        <v>0</v>
      </c>
      <c r="R102">
        <f t="shared" ca="1" si="23"/>
        <v>0</v>
      </c>
      <c r="S102">
        <f t="shared" si="24"/>
        <v>0</v>
      </c>
      <c r="U102">
        <f t="shared" si="30"/>
        <v>0</v>
      </c>
      <c r="V102">
        <f t="shared" ca="1" si="25"/>
        <v>0</v>
      </c>
      <c r="W102">
        <f t="shared" ca="1" si="26"/>
        <v>0</v>
      </c>
      <c r="X102">
        <f t="shared" ca="1" si="19"/>
        <v>0</v>
      </c>
      <c r="Y102">
        <f ca="1">IF(AND(X102&gt;0,SUM($Y$4:Y101)=0),ROW(),0)</f>
        <v>0</v>
      </c>
      <c r="Z102">
        <f t="shared" ca="1" si="27"/>
        <v>0</v>
      </c>
      <c r="AA102">
        <f t="shared" si="28"/>
        <v>0</v>
      </c>
    </row>
    <row r="103" spans="13:27" x14ac:dyDescent="0.2">
      <c r="M103">
        <f t="shared" si="29"/>
        <v>0</v>
      </c>
      <c r="N103">
        <f t="shared" ca="1" si="20"/>
        <v>0</v>
      </c>
      <c r="O103">
        <f t="shared" ca="1" si="21"/>
        <v>0</v>
      </c>
      <c r="P103">
        <f t="shared" ca="1" si="22"/>
        <v>0</v>
      </c>
      <c r="Q103">
        <f ca="1">IF(AND(P103&gt;0,SUM($Q$4:Q102)=0),ROW(),0)</f>
        <v>0</v>
      </c>
      <c r="R103">
        <f t="shared" ca="1" si="23"/>
        <v>0</v>
      </c>
      <c r="S103">
        <f t="shared" si="24"/>
        <v>0</v>
      </c>
      <c r="U103">
        <f t="shared" si="30"/>
        <v>0</v>
      </c>
      <c r="V103">
        <f t="shared" ca="1" si="25"/>
        <v>0</v>
      </c>
      <c r="W103">
        <f t="shared" ca="1" si="26"/>
        <v>0</v>
      </c>
      <c r="X103">
        <f t="shared" ca="1" si="19"/>
        <v>0</v>
      </c>
      <c r="Y103">
        <f ca="1">IF(AND(X103&gt;0,SUM($Y$4:Y102)=0),ROW(),0)</f>
        <v>0</v>
      </c>
      <c r="Z103">
        <f t="shared" ca="1" si="27"/>
        <v>0</v>
      </c>
      <c r="AA103">
        <f t="shared" si="28"/>
        <v>0</v>
      </c>
    </row>
    <row r="104" spans="13:27" x14ac:dyDescent="0.2">
      <c r="M104">
        <f t="shared" si="29"/>
        <v>0</v>
      </c>
      <c r="N104">
        <f t="shared" ca="1" si="20"/>
        <v>0</v>
      </c>
      <c r="O104">
        <f t="shared" ca="1" si="21"/>
        <v>0</v>
      </c>
      <c r="P104">
        <f t="shared" ca="1" si="22"/>
        <v>0</v>
      </c>
      <c r="Q104">
        <f ca="1">IF(AND(P104&gt;0,SUM($Q$4:Q103)=0),ROW(),0)</f>
        <v>0</v>
      </c>
      <c r="R104">
        <f t="shared" ca="1" si="23"/>
        <v>0</v>
      </c>
      <c r="S104">
        <f t="shared" si="24"/>
        <v>0</v>
      </c>
      <c r="U104">
        <f t="shared" si="30"/>
        <v>0</v>
      </c>
      <c r="V104">
        <f t="shared" ca="1" si="25"/>
        <v>0</v>
      </c>
      <c r="W104">
        <f t="shared" ca="1" si="26"/>
        <v>0</v>
      </c>
      <c r="X104">
        <f t="shared" ca="1" si="19"/>
        <v>0</v>
      </c>
      <c r="Y104">
        <f ca="1">IF(AND(X104&gt;0,SUM($Y$4:Y103)=0),ROW(),0)</f>
        <v>0</v>
      </c>
      <c r="Z104">
        <f t="shared" ca="1" si="27"/>
        <v>0</v>
      </c>
      <c r="AA104">
        <f t="shared" si="28"/>
        <v>0</v>
      </c>
    </row>
    <row r="105" spans="13:27" x14ac:dyDescent="0.2">
      <c r="M105">
        <f t="shared" si="29"/>
        <v>0</v>
      </c>
      <c r="N105">
        <f t="shared" ca="1" si="20"/>
        <v>0</v>
      </c>
      <c r="O105">
        <f t="shared" ca="1" si="21"/>
        <v>0</v>
      </c>
      <c r="P105">
        <f t="shared" ca="1" si="22"/>
        <v>0</v>
      </c>
      <c r="Q105">
        <f ca="1">IF(AND(P105&gt;0,SUM($Q$4:Q104)=0),ROW(),0)</f>
        <v>0</v>
      </c>
      <c r="R105">
        <f t="shared" ca="1" si="23"/>
        <v>0</v>
      </c>
      <c r="S105">
        <f t="shared" si="24"/>
        <v>0</v>
      </c>
      <c r="U105">
        <f t="shared" si="30"/>
        <v>0</v>
      </c>
      <c r="V105">
        <f t="shared" ca="1" si="25"/>
        <v>0</v>
      </c>
      <c r="W105">
        <f t="shared" ca="1" si="26"/>
        <v>0</v>
      </c>
      <c r="X105">
        <f t="shared" ca="1" si="19"/>
        <v>0</v>
      </c>
      <c r="Y105">
        <f ca="1">IF(AND(X105&gt;0,SUM($Y$4:Y104)=0),ROW(),0)</f>
        <v>0</v>
      </c>
      <c r="Z105">
        <f t="shared" ca="1" si="27"/>
        <v>0</v>
      </c>
      <c r="AA105">
        <f t="shared" si="28"/>
        <v>0</v>
      </c>
    </row>
    <row r="106" spans="13:27" x14ac:dyDescent="0.2">
      <c r="M106">
        <f t="shared" si="29"/>
        <v>0</v>
      </c>
      <c r="N106">
        <f t="shared" ca="1" si="20"/>
        <v>0</v>
      </c>
      <c r="O106">
        <f t="shared" ca="1" si="21"/>
        <v>0</v>
      </c>
      <c r="P106">
        <f t="shared" ca="1" si="22"/>
        <v>0</v>
      </c>
      <c r="Q106">
        <f ca="1">IF(AND(P106&gt;0,SUM($Q$4:Q105)=0),ROW(),0)</f>
        <v>0</v>
      </c>
      <c r="R106">
        <f t="shared" ca="1" si="23"/>
        <v>0</v>
      </c>
      <c r="S106">
        <f t="shared" si="24"/>
        <v>0</v>
      </c>
      <c r="U106">
        <f t="shared" si="30"/>
        <v>0</v>
      </c>
      <c r="V106">
        <f t="shared" ca="1" si="25"/>
        <v>0</v>
      </c>
      <c r="W106">
        <f t="shared" ca="1" si="26"/>
        <v>0</v>
      </c>
      <c r="X106">
        <f t="shared" ca="1" si="19"/>
        <v>0</v>
      </c>
      <c r="Y106">
        <f ca="1">IF(AND(X106&gt;0,SUM($Y$4:Y105)=0),ROW(),0)</f>
        <v>0</v>
      </c>
      <c r="Z106">
        <f t="shared" ca="1" si="27"/>
        <v>0</v>
      </c>
      <c r="AA106">
        <f t="shared" si="28"/>
        <v>0</v>
      </c>
    </row>
    <row r="107" spans="13:27" x14ac:dyDescent="0.2">
      <c r="M107">
        <f t="shared" si="29"/>
        <v>0</v>
      </c>
      <c r="N107">
        <f t="shared" ca="1" si="20"/>
        <v>0</v>
      </c>
      <c r="O107">
        <f t="shared" ca="1" si="21"/>
        <v>0</v>
      </c>
      <c r="P107">
        <f t="shared" ca="1" si="22"/>
        <v>0</v>
      </c>
      <c r="Q107">
        <f ca="1">IF(AND(P107&gt;0,SUM($Q$4:Q106)=0),ROW(),0)</f>
        <v>0</v>
      </c>
      <c r="R107">
        <f t="shared" ca="1" si="23"/>
        <v>0</v>
      </c>
      <c r="S107">
        <f t="shared" si="24"/>
        <v>0</v>
      </c>
      <c r="U107">
        <f t="shared" si="30"/>
        <v>0</v>
      </c>
      <c r="V107">
        <f t="shared" ca="1" si="25"/>
        <v>0</v>
      </c>
      <c r="W107">
        <f t="shared" ca="1" si="26"/>
        <v>0</v>
      </c>
      <c r="X107">
        <f t="shared" ca="1" si="19"/>
        <v>0</v>
      </c>
      <c r="Y107">
        <f ca="1">IF(AND(X107&gt;0,SUM($Y$4:Y106)=0),ROW(),0)</f>
        <v>0</v>
      </c>
      <c r="Z107">
        <f t="shared" ca="1" si="27"/>
        <v>0</v>
      </c>
      <c r="AA107">
        <f t="shared" si="28"/>
        <v>0</v>
      </c>
    </row>
    <row r="108" spans="13:27" x14ac:dyDescent="0.2">
      <c r="M108">
        <f t="shared" si="29"/>
        <v>0</v>
      </c>
      <c r="N108">
        <f t="shared" ca="1" si="20"/>
        <v>0</v>
      </c>
      <c r="O108">
        <f t="shared" ca="1" si="21"/>
        <v>0</v>
      </c>
      <c r="P108">
        <f t="shared" ca="1" si="22"/>
        <v>0</v>
      </c>
      <c r="Q108">
        <f ca="1">IF(AND(P108&gt;0,SUM($Q$4:Q107)=0),ROW(),0)</f>
        <v>0</v>
      </c>
      <c r="R108">
        <f t="shared" ca="1" si="23"/>
        <v>0</v>
      </c>
      <c r="S108">
        <f t="shared" si="24"/>
        <v>0</v>
      </c>
      <c r="U108">
        <f t="shared" si="30"/>
        <v>0</v>
      </c>
      <c r="V108">
        <f t="shared" ca="1" si="25"/>
        <v>0</v>
      </c>
      <c r="W108">
        <f t="shared" ca="1" si="26"/>
        <v>0</v>
      </c>
      <c r="X108">
        <f t="shared" ca="1" si="19"/>
        <v>0</v>
      </c>
      <c r="Y108">
        <f ca="1">IF(AND(X108&gt;0,SUM($Y$4:Y107)=0),ROW(),0)</f>
        <v>0</v>
      </c>
      <c r="Z108">
        <f t="shared" ca="1" si="27"/>
        <v>0</v>
      </c>
      <c r="AA108">
        <f t="shared" si="28"/>
        <v>0</v>
      </c>
    </row>
    <row r="109" spans="13:27" x14ac:dyDescent="0.2">
      <c r="M109">
        <f t="shared" si="29"/>
        <v>0</v>
      </c>
      <c r="N109">
        <f t="shared" ca="1" si="20"/>
        <v>0</v>
      </c>
      <c r="O109">
        <f t="shared" ca="1" si="21"/>
        <v>0</v>
      </c>
      <c r="P109">
        <f t="shared" ca="1" si="22"/>
        <v>0</v>
      </c>
      <c r="Q109">
        <f ca="1">IF(AND(P109&gt;0,SUM($Q$4:Q108)=0),ROW(),0)</f>
        <v>0</v>
      </c>
      <c r="R109">
        <f t="shared" ca="1" si="23"/>
        <v>0</v>
      </c>
      <c r="S109">
        <f t="shared" si="24"/>
        <v>0</v>
      </c>
      <c r="U109">
        <f t="shared" si="30"/>
        <v>0</v>
      </c>
      <c r="V109">
        <f t="shared" ca="1" si="25"/>
        <v>0</v>
      </c>
      <c r="W109">
        <f t="shared" ca="1" si="26"/>
        <v>0</v>
      </c>
      <c r="X109">
        <f t="shared" ca="1" si="19"/>
        <v>0</v>
      </c>
      <c r="Y109">
        <f ca="1">IF(AND(X109&gt;0,SUM($Y$4:Y108)=0),ROW(),0)</f>
        <v>0</v>
      </c>
      <c r="Z109">
        <f t="shared" ca="1" si="27"/>
        <v>0</v>
      </c>
      <c r="AA109">
        <f t="shared" si="28"/>
        <v>0</v>
      </c>
    </row>
    <row r="110" spans="13:27" x14ac:dyDescent="0.2">
      <c r="M110">
        <f t="shared" si="29"/>
        <v>0</v>
      </c>
      <c r="N110">
        <f t="shared" ca="1" si="20"/>
        <v>0</v>
      </c>
      <c r="O110">
        <f t="shared" ca="1" si="21"/>
        <v>0</v>
      </c>
      <c r="P110">
        <f t="shared" ca="1" si="22"/>
        <v>0</v>
      </c>
      <c r="Q110">
        <f ca="1">IF(AND(P110&gt;0,SUM($Q$4:Q109)=0),ROW(),0)</f>
        <v>0</v>
      </c>
      <c r="R110">
        <f t="shared" ca="1" si="23"/>
        <v>0</v>
      </c>
      <c r="S110">
        <f t="shared" si="24"/>
        <v>0</v>
      </c>
      <c r="U110">
        <f t="shared" si="30"/>
        <v>0</v>
      </c>
      <c r="V110">
        <f t="shared" ca="1" si="25"/>
        <v>0</v>
      </c>
      <c r="W110">
        <f t="shared" ca="1" si="26"/>
        <v>0</v>
      </c>
      <c r="X110">
        <f t="shared" ca="1" si="19"/>
        <v>0</v>
      </c>
      <c r="Y110">
        <f ca="1">IF(AND(X110&gt;0,SUM($Y$4:Y109)=0),ROW(),0)</f>
        <v>0</v>
      </c>
      <c r="Z110">
        <f t="shared" ca="1" si="27"/>
        <v>0</v>
      </c>
      <c r="AA110">
        <f t="shared" si="28"/>
        <v>0</v>
      </c>
    </row>
    <row r="111" spans="13:27" x14ac:dyDescent="0.2">
      <c r="M111">
        <f t="shared" si="29"/>
        <v>0</v>
      </c>
      <c r="N111">
        <f t="shared" ca="1" si="20"/>
        <v>0</v>
      </c>
      <c r="O111">
        <f t="shared" ca="1" si="21"/>
        <v>0</v>
      </c>
      <c r="P111">
        <f t="shared" ca="1" si="22"/>
        <v>0</v>
      </c>
      <c r="Q111">
        <f ca="1">IF(AND(P111&gt;0,SUM($Q$4:Q110)=0),ROW(),0)</f>
        <v>0</v>
      </c>
      <c r="R111">
        <f t="shared" ca="1" si="23"/>
        <v>0</v>
      </c>
      <c r="S111">
        <f t="shared" si="24"/>
        <v>0</v>
      </c>
      <c r="U111">
        <f t="shared" si="30"/>
        <v>0</v>
      </c>
      <c r="V111">
        <f t="shared" ca="1" si="25"/>
        <v>0</v>
      </c>
      <c r="W111">
        <f t="shared" ca="1" si="26"/>
        <v>0</v>
      </c>
      <c r="X111">
        <f t="shared" ca="1" si="19"/>
        <v>0</v>
      </c>
      <c r="Y111">
        <f ca="1">IF(AND(X111&gt;0,SUM($Y$4:Y110)=0),ROW(),0)</f>
        <v>0</v>
      </c>
      <c r="Z111">
        <f t="shared" ca="1" si="27"/>
        <v>0</v>
      </c>
      <c r="AA111">
        <f t="shared" si="28"/>
        <v>0</v>
      </c>
    </row>
    <row r="112" spans="13:27" x14ac:dyDescent="0.2">
      <c r="M112">
        <f t="shared" si="29"/>
        <v>0</v>
      </c>
      <c r="N112">
        <f t="shared" ca="1" si="20"/>
        <v>0</v>
      </c>
      <c r="O112">
        <f t="shared" ca="1" si="21"/>
        <v>0</v>
      </c>
      <c r="P112">
        <f t="shared" ca="1" si="22"/>
        <v>0</v>
      </c>
      <c r="Q112">
        <f ca="1">IF(AND(P112&gt;0,SUM($Q$4:Q111)=0),ROW(),0)</f>
        <v>0</v>
      </c>
      <c r="R112">
        <f t="shared" ca="1" si="23"/>
        <v>0</v>
      </c>
      <c r="S112">
        <f t="shared" si="24"/>
        <v>0</v>
      </c>
      <c r="U112">
        <f t="shared" si="30"/>
        <v>0</v>
      </c>
      <c r="V112">
        <f t="shared" ca="1" si="25"/>
        <v>0</v>
      </c>
      <c r="W112">
        <f t="shared" ca="1" si="26"/>
        <v>0</v>
      </c>
      <c r="X112">
        <f t="shared" ca="1" si="19"/>
        <v>0</v>
      </c>
      <c r="Y112">
        <f ca="1">IF(AND(X112&gt;0,SUM($Y$4:Y111)=0),ROW(),0)</f>
        <v>0</v>
      </c>
      <c r="Z112">
        <f t="shared" ca="1" si="27"/>
        <v>0</v>
      </c>
      <c r="AA112">
        <f t="shared" si="28"/>
        <v>0</v>
      </c>
    </row>
    <row r="113" spans="13:27" x14ac:dyDescent="0.2">
      <c r="M113">
        <f t="shared" si="29"/>
        <v>0</v>
      </c>
      <c r="N113">
        <f t="shared" ca="1" si="20"/>
        <v>0</v>
      </c>
      <c r="O113">
        <f t="shared" ca="1" si="21"/>
        <v>0</v>
      </c>
      <c r="P113">
        <f t="shared" ca="1" si="22"/>
        <v>0</v>
      </c>
      <c r="Q113">
        <f ca="1">IF(AND(P113&gt;0,SUM($Q$4:Q112)=0),ROW(),0)</f>
        <v>0</v>
      </c>
      <c r="R113">
        <f t="shared" ca="1" si="23"/>
        <v>0</v>
      </c>
      <c r="S113">
        <f t="shared" si="24"/>
        <v>0</v>
      </c>
      <c r="U113">
        <f t="shared" si="30"/>
        <v>0</v>
      </c>
      <c r="V113">
        <f t="shared" ca="1" si="25"/>
        <v>0</v>
      </c>
      <c r="W113">
        <f t="shared" ca="1" si="26"/>
        <v>0</v>
      </c>
      <c r="X113">
        <f t="shared" ca="1" si="19"/>
        <v>0</v>
      </c>
      <c r="Y113">
        <f ca="1">IF(AND(X113&gt;0,SUM($Y$4:Y112)=0),ROW(),0)</f>
        <v>0</v>
      </c>
      <c r="Z113">
        <f t="shared" ca="1" si="27"/>
        <v>0</v>
      </c>
      <c r="AA113">
        <f t="shared" si="28"/>
        <v>0</v>
      </c>
    </row>
    <row r="114" spans="13:27" x14ac:dyDescent="0.2">
      <c r="M114">
        <f t="shared" si="29"/>
        <v>0</v>
      </c>
      <c r="N114">
        <f t="shared" ca="1" si="20"/>
        <v>0</v>
      </c>
      <c r="O114">
        <f t="shared" ca="1" si="21"/>
        <v>0</v>
      </c>
      <c r="P114">
        <f t="shared" ca="1" si="22"/>
        <v>0</v>
      </c>
      <c r="Q114">
        <f ca="1">IF(AND(P114&gt;0,SUM($Q$4:Q113)=0),ROW(),0)</f>
        <v>0</v>
      </c>
      <c r="R114">
        <f t="shared" ca="1" si="23"/>
        <v>0</v>
      </c>
      <c r="S114">
        <f t="shared" si="24"/>
        <v>0</v>
      </c>
      <c r="U114">
        <f t="shared" si="30"/>
        <v>0</v>
      </c>
      <c r="V114">
        <f t="shared" ca="1" si="25"/>
        <v>0</v>
      </c>
      <c r="W114">
        <f t="shared" ca="1" si="26"/>
        <v>0</v>
      </c>
      <c r="X114">
        <f t="shared" ca="1" si="19"/>
        <v>0</v>
      </c>
      <c r="Y114">
        <f ca="1">IF(AND(X114&gt;0,SUM($Y$4:Y113)=0),ROW(),0)</f>
        <v>0</v>
      </c>
      <c r="Z114">
        <f t="shared" ca="1" si="27"/>
        <v>0</v>
      </c>
      <c r="AA114">
        <f t="shared" si="28"/>
        <v>0</v>
      </c>
    </row>
    <row r="115" spans="13:27" x14ac:dyDescent="0.2">
      <c r="M115">
        <f t="shared" si="29"/>
        <v>0</v>
      </c>
      <c r="N115">
        <f t="shared" ca="1" si="20"/>
        <v>0</v>
      </c>
      <c r="O115">
        <f t="shared" ca="1" si="21"/>
        <v>0</v>
      </c>
      <c r="P115">
        <f t="shared" ca="1" si="22"/>
        <v>0</v>
      </c>
      <c r="Q115">
        <f ca="1">IF(AND(P115&gt;0,SUM($Q$4:Q114)=0),ROW(),0)</f>
        <v>0</v>
      </c>
      <c r="R115">
        <f t="shared" ca="1" si="23"/>
        <v>0</v>
      </c>
      <c r="S115">
        <f t="shared" si="24"/>
        <v>0</v>
      </c>
      <c r="U115">
        <f t="shared" si="30"/>
        <v>0</v>
      </c>
      <c r="V115">
        <f t="shared" ca="1" si="25"/>
        <v>0</v>
      </c>
      <c r="W115">
        <f t="shared" ca="1" si="26"/>
        <v>0</v>
      </c>
      <c r="X115">
        <f t="shared" ca="1" si="19"/>
        <v>0</v>
      </c>
      <c r="Y115">
        <f ca="1">IF(AND(X115&gt;0,SUM($Y$4:Y114)=0),ROW(),0)</f>
        <v>0</v>
      </c>
      <c r="Z115">
        <f t="shared" ca="1" si="27"/>
        <v>0</v>
      </c>
      <c r="AA115">
        <f t="shared" si="28"/>
        <v>0</v>
      </c>
    </row>
    <row r="116" spans="13:27" x14ac:dyDescent="0.2">
      <c r="M116">
        <f t="shared" si="29"/>
        <v>0</v>
      </c>
      <c r="N116">
        <f t="shared" ca="1" si="20"/>
        <v>0</v>
      </c>
      <c r="O116">
        <f t="shared" ca="1" si="21"/>
        <v>0</v>
      </c>
      <c r="P116">
        <f t="shared" ca="1" si="22"/>
        <v>0</v>
      </c>
      <c r="Q116">
        <f ca="1">IF(AND(P116&gt;0,SUM($Q$4:Q115)=0),ROW(),0)</f>
        <v>0</v>
      </c>
      <c r="R116">
        <f t="shared" ca="1" si="23"/>
        <v>0</v>
      </c>
      <c r="S116">
        <f t="shared" si="24"/>
        <v>0</v>
      </c>
      <c r="U116">
        <f t="shared" si="30"/>
        <v>0</v>
      </c>
      <c r="V116">
        <f t="shared" ca="1" si="25"/>
        <v>0</v>
      </c>
      <c r="W116">
        <f t="shared" ca="1" si="26"/>
        <v>0</v>
      </c>
      <c r="X116">
        <f t="shared" ca="1" si="19"/>
        <v>0</v>
      </c>
      <c r="Y116">
        <f ca="1">IF(AND(X116&gt;0,SUM($Y$4:Y115)=0),ROW(),0)</f>
        <v>0</v>
      </c>
      <c r="Z116">
        <f t="shared" ca="1" si="27"/>
        <v>0</v>
      </c>
      <c r="AA116">
        <f t="shared" si="28"/>
        <v>0</v>
      </c>
    </row>
    <row r="117" spans="13:27" x14ac:dyDescent="0.2">
      <c r="M117">
        <f t="shared" si="29"/>
        <v>0</v>
      </c>
      <c r="N117">
        <f t="shared" ca="1" si="20"/>
        <v>0</v>
      </c>
      <c r="O117">
        <f t="shared" ca="1" si="21"/>
        <v>0</v>
      </c>
      <c r="P117">
        <f t="shared" ca="1" si="22"/>
        <v>0</v>
      </c>
      <c r="Q117">
        <f ca="1">IF(AND(P117&gt;0,SUM($Q$4:Q116)=0),ROW(),0)</f>
        <v>0</v>
      </c>
      <c r="R117">
        <f t="shared" ca="1" si="23"/>
        <v>0</v>
      </c>
      <c r="S117">
        <f t="shared" si="24"/>
        <v>0</v>
      </c>
      <c r="U117">
        <f t="shared" si="30"/>
        <v>0</v>
      </c>
      <c r="V117">
        <f t="shared" ca="1" si="25"/>
        <v>0</v>
      </c>
      <c r="W117">
        <f t="shared" ca="1" si="26"/>
        <v>0</v>
      </c>
      <c r="X117">
        <f t="shared" ref="X117:X180" ca="1" si="31">IF(AND(U117&gt;=$K$35-0.5, U117&lt;=$K$35+0.5),IF(AND(U117&lt;=$K$35,U117&gt;0),V117,W117),0)</f>
        <v>0</v>
      </c>
      <c r="Y117">
        <f ca="1">IF(AND(X117&gt;0,SUM($Y$4:Y116)=0),ROW(),0)</f>
        <v>0</v>
      </c>
      <c r="Z117">
        <f t="shared" ca="1" si="27"/>
        <v>0</v>
      </c>
      <c r="AA117">
        <f t="shared" si="28"/>
        <v>0</v>
      </c>
    </row>
    <row r="118" spans="13:27" x14ac:dyDescent="0.2">
      <c r="M118">
        <f t="shared" si="29"/>
        <v>0</v>
      </c>
      <c r="N118">
        <f t="shared" ca="1" si="20"/>
        <v>0</v>
      </c>
      <c r="O118">
        <f t="shared" ca="1" si="21"/>
        <v>0</v>
      </c>
      <c r="P118">
        <f t="shared" ca="1" si="22"/>
        <v>0</v>
      </c>
      <c r="Q118">
        <f ca="1">IF(AND(P118&gt;0,SUM($Q$4:Q117)=0),ROW(),0)</f>
        <v>0</v>
      </c>
      <c r="R118">
        <f t="shared" ca="1" si="23"/>
        <v>0</v>
      </c>
      <c r="S118">
        <f t="shared" si="24"/>
        <v>0</v>
      </c>
      <c r="U118">
        <f t="shared" si="30"/>
        <v>0</v>
      </c>
      <c r="V118">
        <f t="shared" ca="1" si="25"/>
        <v>0</v>
      </c>
      <c r="W118">
        <f t="shared" ca="1" si="26"/>
        <v>0</v>
      </c>
      <c r="X118">
        <f t="shared" ca="1" si="31"/>
        <v>0</v>
      </c>
      <c r="Y118">
        <f ca="1">IF(AND(X118&gt;0,SUM($Y$4:Y117)=0),ROW(),0)</f>
        <v>0</v>
      </c>
      <c r="Z118">
        <f t="shared" ca="1" si="27"/>
        <v>0</v>
      </c>
      <c r="AA118">
        <f t="shared" si="28"/>
        <v>0</v>
      </c>
    </row>
    <row r="119" spans="13:27" x14ac:dyDescent="0.2">
      <c r="M119">
        <f t="shared" si="29"/>
        <v>0</v>
      </c>
      <c r="N119">
        <f t="shared" ca="1" si="20"/>
        <v>0</v>
      </c>
      <c r="O119">
        <f t="shared" ca="1" si="21"/>
        <v>0</v>
      </c>
      <c r="P119">
        <f t="shared" ca="1" si="22"/>
        <v>0</v>
      </c>
      <c r="Q119">
        <f ca="1">IF(AND(P119&gt;0,SUM($Q$4:Q118)=0),ROW(),0)</f>
        <v>0</v>
      </c>
      <c r="R119">
        <f t="shared" ca="1" si="23"/>
        <v>0</v>
      </c>
      <c r="S119">
        <f t="shared" si="24"/>
        <v>0</v>
      </c>
      <c r="U119">
        <f t="shared" si="30"/>
        <v>0</v>
      </c>
      <c r="V119">
        <f t="shared" ca="1" si="25"/>
        <v>0</v>
      </c>
      <c r="W119">
        <f t="shared" ca="1" si="26"/>
        <v>0</v>
      </c>
      <c r="X119">
        <f t="shared" ca="1" si="31"/>
        <v>0</v>
      </c>
      <c r="Y119">
        <f ca="1">IF(AND(X119&gt;0,SUM($Y$4:Y118)=0),ROW(),0)</f>
        <v>0</v>
      </c>
      <c r="Z119">
        <f t="shared" ca="1" si="27"/>
        <v>0</v>
      </c>
      <c r="AA119">
        <f t="shared" si="28"/>
        <v>0</v>
      </c>
    </row>
    <row r="120" spans="13:27" x14ac:dyDescent="0.2">
      <c r="M120">
        <f t="shared" si="29"/>
        <v>0</v>
      </c>
      <c r="N120">
        <f t="shared" ca="1" si="20"/>
        <v>0</v>
      </c>
      <c r="O120">
        <f t="shared" ca="1" si="21"/>
        <v>0</v>
      </c>
      <c r="P120">
        <f t="shared" ca="1" si="22"/>
        <v>0</v>
      </c>
      <c r="Q120">
        <f ca="1">IF(AND(P120&gt;0,SUM($Q$4:Q119)=0),ROW(),0)</f>
        <v>0</v>
      </c>
      <c r="R120">
        <f t="shared" ca="1" si="23"/>
        <v>0</v>
      </c>
      <c r="S120">
        <f t="shared" si="24"/>
        <v>0</v>
      </c>
      <c r="U120">
        <f t="shared" si="30"/>
        <v>0</v>
      </c>
      <c r="V120">
        <f t="shared" ca="1" si="25"/>
        <v>0</v>
      </c>
      <c r="W120">
        <f t="shared" ca="1" si="26"/>
        <v>0</v>
      </c>
      <c r="X120">
        <f t="shared" ca="1" si="31"/>
        <v>0</v>
      </c>
      <c r="Y120">
        <f ca="1">IF(AND(X120&gt;0,SUM($Y$4:Y119)=0),ROW(),0)</f>
        <v>0</v>
      </c>
      <c r="Z120">
        <f t="shared" ca="1" si="27"/>
        <v>0</v>
      </c>
      <c r="AA120">
        <f t="shared" si="28"/>
        <v>0</v>
      </c>
    </row>
    <row r="121" spans="13:27" x14ac:dyDescent="0.2">
      <c r="M121">
        <f t="shared" si="29"/>
        <v>0</v>
      </c>
      <c r="N121">
        <f t="shared" ca="1" si="20"/>
        <v>0</v>
      </c>
      <c r="O121">
        <f t="shared" ca="1" si="21"/>
        <v>0</v>
      </c>
      <c r="P121">
        <f t="shared" ca="1" si="22"/>
        <v>0</v>
      </c>
      <c r="Q121">
        <f ca="1">IF(AND(P121&gt;0,SUM($Q$4:Q120)=0),ROW(),0)</f>
        <v>0</v>
      </c>
      <c r="R121">
        <f t="shared" ca="1" si="23"/>
        <v>0</v>
      </c>
      <c r="S121">
        <f t="shared" si="24"/>
        <v>0</v>
      </c>
      <c r="U121">
        <f t="shared" si="30"/>
        <v>0</v>
      </c>
      <c r="V121">
        <f t="shared" ca="1" si="25"/>
        <v>0</v>
      </c>
      <c r="W121">
        <f t="shared" ca="1" si="26"/>
        <v>0</v>
      </c>
      <c r="X121">
        <f t="shared" ca="1" si="31"/>
        <v>0</v>
      </c>
      <c r="Y121">
        <f ca="1">IF(AND(X121&gt;0,SUM($Y$4:Y120)=0),ROW(),0)</f>
        <v>0</v>
      </c>
      <c r="Z121">
        <f t="shared" ca="1" si="27"/>
        <v>0</v>
      </c>
      <c r="AA121">
        <f t="shared" si="28"/>
        <v>0</v>
      </c>
    </row>
    <row r="122" spans="13:27" x14ac:dyDescent="0.2">
      <c r="M122">
        <f t="shared" si="29"/>
        <v>0</v>
      </c>
      <c r="N122">
        <f t="shared" ca="1" si="20"/>
        <v>0</v>
      </c>
      <c r="O122">
        <f t="shared" ca="1" si="21"/>
        <v>0</v>
      </c>
      <c r="P122">
        <f t="shared" ca="1" si="22"/>
        <v>0</v>
      </c>
      <c r="Q122">
        <f ca="1">IF(AND(P122&gt;0,SUM($Q$4:Q121)=0),ROW(),0)</f>
        <v>0</v>
      </c>
      <c r="R122">
        <f t="shared" ca="1" si="23"/>
        <v>0</v>
      </c>
      <c r="S122">
        <f t="shared" si="24"/>
        <v>0</v>
      </c>
      <c r="U122">
        <f t="shared" si="30"/>
        <v>0</v>
      </c>
      <c r="V122">
        <f t="shared" ca="1" si="25"/>
        <v>0</v>
      </c>
      <c r="W122">
        <f t="shared" ca="1" si="26"/>
        <v>0</v>
      </c>
      <c r="X122">
        <f t="shared" ca="1" si="31"/>
        <v>0</v>
      </c>
      <c r="Y122">
        <f ca="1">IF(AND(X122&gt;0,SUM($Y$4:Y121)=0),ROW(),0)</f>
        <v>0</v>
      </c>
      <c r="Z122">
        <f t="shared" ca="1" si="27"/>
        <v>0</v>
      </c>
      <c r="AA122">
        <f t="shared" si="28"/>
        <v>0</v>
      </c>
    </row>
    <row r="123" spans="13:27" x14ac:dyDescent="0.2">
      <c r="M123">
        <f t="shared" si="29"/>
        <v>0</v>
      </c>
      <c r="N123">
        <f t="shared" ca="1" si="20"/>
        <v>0</v>
      </c>
      <c r="O123">
        <f t="shared" ca="1" si="21"/>
        <v>0</v>
      </c>
      <c r="P123">
        <f t="shared" ca="1" si="22"/>
        <v>0</v>
      </c>
      <c r="Q123">
        <f ca="1">IF(AND(P123&gt;0,SUM($Q$4:Q122)=0),ROW(),0)</f>
        <v>0</v>
      </c>
      <c r="R123">
        <f t="shared" ca="1" si="23"/>
        <v>0</v>
      </c>
      <c r="S123">
        <f t="shared" si="24"/>
        <v>0</v>
      </c>
      <c r="U123">
        <f t="shared" si="30"/>
        <v>0</v>
      </c>
      <c r="V123">
        <f t="shared" ca="1" si="25"/>
        <v>0</v>
      </c>
      <c r="W123">
        <f t="shared" ca="1" si="26"/>
        <v>0</v>
      </c>
      <c r="X123">
        <f t="shared" ca="1" si="31"/>
        <v>0</v>
      </c>
      <c r="Y123">
        <f ca="1">IF(AND(X123&gt;0,SUM($Y$4:Y122)=0),ROW(),0)</f>
        <v>0</v>
      </c>
      <c r="Z123">
        <f t="shared" ca="1" si="27"/>
        <v>0</v>
      </c>
      <c r="AA123">
        <f t="shared" si="28"/>
        <v>0</v>
      </c>
    </row>
    <row r="124" spans="13:27" x14ac:dyDescent="0.2">
      <c r="M124">
        <f t="shared" si="29"/>
        <v>0</v>
      </c>
      <c r="N124">
        <f t="shared" ca="1" si="20"/>
        <v>0</v>
      </c>
      <c r="O124">
        <f t="shared" ca="1" si="21"/>
        <v>0</v>
      </c>
      <c r="P124">
        <f t="shared" ca="1" si="22"/>
        <v>0</v>
      </c>
      <c r="Q124">
        <f ca="1">IF(AND(P124&gt;0,SUM($Q$4:Q123)=0),ROW(),0)</f>
        <v>0</v>
      </c>
      <c r="R124">
        <f t="shared" ca="1" si="23"/>
        <v>0</v>
      </c>
      <c r="S124">
        <f t="shared" si="24"/>
        <v>0</v>
      </c>
      <c r="U124">
        <f t="shared" si="30"/>
        <v>0</v>
      </c>
      <c r="V124">
        <f t="shared" ca="1" si="25"/>
        <v>0</v>
      </c>
      <c r="W124">
        <f t="shared" ca="1" si="26"/>
        <v>0</v>
      </c>
      <c r="X124">
        <f t="shared" ca="1" si="31"/>
        <v>0</v>
      </c>
      <c r="Y124">
        <f ca="1">IF(AND(X124&gt;0,SUM($Y$4:Y123)=0),ROW(),0)</f>
        <v>0</v>
      </c>
      <c r="Z124">
        <f t="shared" ca="1" si="27"/>
        <v>0</v>
      </c>
      <c r="AA124">
        <f t="shared" si="28"/>
        <v>0</v>
      </c>
    </row>
    <row r="125" spans="13:27" x14ac:dyDescent="0.2">
      <c r="M125">
        <f t="shared" si="29"/>
        <v>0</v>
      </c>
      <c r="N125">
        <f t="shared" ca="1" si="20"/>
        <v>0</v>
      </c>
      <c r="O125">
        <f t="shared" ca="1" si="21"/>
        <v>0</v>
      </c>
      <c r="P125">
        <f t="shared" ca="1" si="22"/>
        <v>0</v>
      </c>
      <c r="Q125">
        <f ca="1">IF(AND(P125&gt;0,SUM($Q$4:Q124)=0),ROW(),0)</f>
        <v>0</v>
      </c>
      <c r="R125">
        <f t="shared" ca="1" si="23"/>
        <v>0</v>
      </c>
      <c r="S125">
        <f t="shared" si="24"/>
        <v>0</v>
      </c>
      <c r="U125">
        <f t="shared" si="30"/>
        <v>0</v>
      </c>
      <c r="V125">
        <f t="shared" ca="1" si="25"/>
        <v>0</v>
      </c>
      <c r="W125">
        <f t="shared" ca="1" si="26"/>
        <v>0</v>
      </c>
      <c r="X125">
        <f t="shared" ca="1" si="31"/>
        <v>0</v>
      </c>
      <c r="Y125">
        <f ca="1">IF(AND(X125&gt;0,SUM($Y$4:Y124)=0),ROW(),0)</f>
        <v>0</v>
      </c>
      <c r="Z125">
        <f t="shared" ca="1" si="27"/>
        <v>0</v>
      </c>
      <c r="AA125">
        <f t="shared" si="28"/>
        <v>0</v>
      </c>
    </row>
    <row r="126" spans="13:27" x14ac:dyDescent="0.2">
      <c r="M126">
        <f t="shared" si="29"/>
        <v>0</v>
      </c>
      <c r="N126">
        <f t="shared" ca="1" si="20"/>
        <v>0</v>
      </c>
      <c r="O126">
        <f t="shared" ca="1" si="21"/>
        <v>0</v>
      </c>
      <c r="P126">
        <f t="shared" ca="1" si="22"/>
        <v>0</v>
      </c>
      <c r="Q126">
        <f ca="1">IF(AND(P126&gt;0,SUM($Q$4:Q125)=0),ROW(),0)</f>
        <v>0</v>
      </c>
      <c r="R126">
        <f t="shared" ca="1" si="23"/>
        <v>0</v>
      </c>
      <c r="S126">
        <f t="shared" si="24"/>
        <v>0</v>
      </c>
      <c r="U126">
        <f t="shared" si="30"/>
        <v>0</v>
      </c>
      <c r="V126">
        <f t="shared" ca="1" si="25"/>
        <v>0</v>
      </c>
      <c r="W126">
        <f t="shared" ca="1" si="26"/>
        <v>0</v>
      </c>
      <c r="X126">
        <f t="shared" ca="1" si="31"/>
        <v>0</v>
      </c>
      <c r="Y126">
        <f ca="1">IF(AND(X126&gt;0,SUM($Y$4:Y125)=0),ROW(),0)</f>
        <v>0</v>
      </c>
      <c r="Z126">
        <f t="shared" ca="1" si="27"/>
        <v>0</v>
      </c>
      <c r="AA126">
        <f t="shared" si="28"/>
        <v>0</v>
      </c>
    </row>
    <row r="127" spans="13:27" x14ac:dyDescent="0.2">
      <c r="M127">
        <f t="shared" si="29"/>
        <v>0</v>
      </c>
      <c r="N127">
        <f t="shared" ca="1" si="20"/>
        <v>0</v>
      </c>
      <c r="O127">
        <f t="shared" ca="1" si="21"/>
        <v>0</v>
      </c>
      <c r="P127">
        <f t="shared" ca="1" si="22"/>
        <v>0</v>
      </c>
      <c r="Q127">
        <f ca="1">IF(AND(P127&gt;0,SUM($Q$4:Q126)=0),ROW(),0)</f>
        <v>0</v>
      </c>
      <c r="R127">
        <f t="shared" ca="1" si="23"/>
        <v>0</v>
      </c>
      <c r="S127">
        <f t="shared" si="24"/>
        <v>0</v>
      </c>
      <c r="U127">
        <f t="shared" si="30"/>
        <v>0</v>
      </c>
      <c r="V127">
        <f t="shared" ca="1" si="25"/>
        <v>0</v>
      </c>
      <c r="W127">
        <f t="shared" ca="1" si="26"/>
        <v>0</v>
      </c>
      <c r="X127">
        <f t="shared" ca="1" si="31"/>
        <v>0</v>
      </c>
      <c r="Y127">
        <f ca="1">IF(AND(X127&gt;0,SUM($Y$4:Y126)=0),ROW(),0)</f>
        <v>0</v>
      </c>
      <c r="Z127">
        <f t="shared" ca="1" si="27"/>
        <v>0</v>
      </c>
      <c r="AA127">
        <f t="shared" si="28"/>
        <v>0</v>
      </c>
    </row>
    <row r="128" spans="13:27" x14ac:dyDescent="0.2">
      <c r="M128">
        <f t="shared" si="29"/>
        <v>0</v>
      </c>
      <c r="N128">
        <f t="shared" ca="1" si="20"/>
        <v>0</v>
      </c>
      <c r="O128">
        <f t="shared" ca="1" si="21"/>
        <v>0</v>
      </c>
      <c r="P128">
        <f t="shared" ca="1" si="22"/>
        <v>0</v>
      </c>
      <c r="Q128">
        <f ca="1">IF(AND(P128&gt;0,SUM($Q$4:Q127)=0),ROW(),0)</f>
        <v>0</v>
      </c>
      <c r="R128">
        <f t="shared" ca="1" si="23"/>
        <v>0</v>
      </c>
      <c r="S128">
        <f t="shared" si="24"/>
        <v>0</v>
      </c>
      <c r="U128">
        <f t="shared" si="30"/>
        <v>0</v>
      </c>
      <c r="V128">
        <f t="shared" ca="1" si="25"/>
        <v>0</v>
      </c>
      <c r="W128">
        <f t="shared" ca="1" si="26"/>
        <v>0</v>
      </c>
      <c r="X128">
        <f t="shared" ca="1" si="31"/>
        <v>0</v>
      </c>
      <c r="Y128">
        <f ca="1">IF(AND(X128&gt;0,SUM($Y$4:Y127)=0),ROW(),0)</f>
        <v>0</v>
      </c>
      <c r="Z128">
        <f t="shared" ca="1" si="27"/>
        <v>0</v>
      </c>
      <c r="AA128">
        <f t="shared" si="28"/>
        <v>0</v>
      </c>
    </row>
    <row r="129" spans="13:27" x14ac:dyDescent="0.2">
      <c r="M129">
        <f t="shared" si="29"/>
        <v>0</v>
      </c>
      <c r="N129">
        <f t="shared" ca="1" si="20"/>
        <v>0</v>
      </c>
      <c r="O129">
        <f t="shared" ca="1" si="21"/>
        <v>0</v>
      </c>
      <c r="P129">
        <f t="shared" ca="1" si="22"/>
        <v>0</v>
      </c>
      <c r="Q129">
        <f ca="1">IF(AND(P129&gt;0,SUM($Q$4:Q128)=0),ROW(),0)</f>
        <v>0</v>
      </c>
      <c r="R129">
        <f t="shared" ca="1" si="23"/>
        <v>0</v>
      </c>
      <c r="S129">
        <f t="shared" si="24"/>
        <v>0</v>
      </c>
      <c r="U129">
        <f t="shared" si="30"/>
        <v>0</v>
      </c>
      <c r="V129">
        <f t="shared" ca="1" si="25"/>
        <v>0</v>
      </c>
      <c r="W129">
        <f t="shared" ca="1" si="26"/>
        <v>0</v>
      </c>
      <c r="X129">
        <f t="shared" ca="1" si="31"/>
        <v>0</v>
      </c>
      <c r="Y129">
        <f ca="1">IF(AND(X129&gt;0,SUM($Y$4:Y128)=0),ROW(),0)</f>
        <v>0</v>
      </c>
      <c r="Z129">
        <f t="shared" ca="1" si="27"/>
        <v>0</v>
      </c>
      <c r="AA129">
        <f t="shared" si="28"/>
        <v>0</v>
      </c>
    </row>
    <row r="130" spans="13:27" x14ac:dyDescent="0.2">
      <c r="M130">
        <f t="shared" ref="M130:M193" si="32">IF(AND(M129&gt;0,M129&lt;=MAX($C$8:$H$8)),M129+0.1,0)</f>
        <v>0</v>
      </c>
      <c r="N130">
        <f t="shared" ca="1" si="20"/>
        <v>0</v>
      </c>
      <c r="O130">
        <f t="shared" ref="O130:O193" ca="1" si="33">IF(AND(M130&gt;0,M130&gt;=INDIRECT(ADDRESS(8,3+$J$18))-2),$C$28*M130*M130+$D$28*M130+$E$28,0)</f>
        <v>0</v>
      </c>
      <c r="P130">
        <f t="shared" ca="1" si="22"/>
        <v>0</v>
      </c>
      <c r="Q130">
        <f ca="1">IF(AND(P130&gt;0,SUM($Q$4:Q129)=0),ROW(),0)</f>
        <v>0</v>
      </c>
      <c r="R130">
        <f t="shared" ca="1" si="23"/>
        <v>0</v>
      </c>
      <c r="S130">
        <f t="shared" si="24"/>
        <v>0</v>
      </c>
      <c r="U130">
        <f t="shared" si="30"/>
        <v>0</v>
      </c>
      <c r="V130">
        <f t="shared" ca="1" si="25"/>
        <v>0</v>
      </c>
      <c r="W130">
        <f t="shared" ca="1" si="26"/>
        <v>0</v>
      </c>
      <c r="X130">
        <f t="shared" ca="1" si="31"/>
        <v>0</v>
      </c>
      <c r="Y130">
        <f ca="1">IF(AND(X130&gt;0,SUM($Y$4:Y129)=0),ROW(),0)</f>
        <v>0</v>
      </c>
      <c r="Z130">
        <f t="shared" ca="1" si="27"/>
        <v>0</v>
      </c>
      <c r="AA130">
        <f t="shared" si="28"/>
        <v>0</v>
      </c>
    </row>
    <row r="131" spans="13:27" x14ac:dyDescent="0.2">
      <c r="M131">
        <f t="shared" si="32"/>
        <v>0</v>
      </c>
      <c r="N131">
        <f t="shared" ca="1" si="20"/>
        <v>0</v>
      </c>
      <c r="O131">
        <f t="shared" ca="1" si="33"/>
        <v>0</v>
      </c>
      <c r="P131">
        <f t="shared" ca="1" si="22"/>
        <v>0</v>
      </c>
      <c r="Q131">
        <f ca="1">IF(AND(P131&gt;0,SUM($Q$4:Q130)=0),ROW(),0)</f>
        <v>0</v>
      </c>
      <c r="R131">
        <f t="shared" ca="1" si="23"/>
        <v>0</v>
      </c>
      <c r="S131">
        <f t="shared" si="24"/>
        <v>0</v>
      </c>
      <c r="U131">
        <f t="shared" si="30"/>
        <v>0</v>
      </c>
      <c r="V131">
        <f t="shared" ca="1" si="25"/>
        <v>0</v>
      </c>
      <c r="W131">
        <f t="shared" ca="1" si="26"/>
        <v>0</v>
      </c>
      <c r="X131">
        <f t="shared" ca="1" si="31"/>
        <v>0</v>
      </c>
      <c r="Y131">
        <f ca="1">IF(AND(X131&gt;0,SUM($Y$4:Y130)=0),ROW(),0)</f>
        <v>0</v>
      </c>
      <c r="Z131">
        <f t="shared" ca="1" si="27"/>
        <v>0</v>
      </c>
      <c r="AA131">
        <f t="shared" si="28"/>
        <v>0</v>
      </c>
    </row>
    <row r="132" spans="13:27" x14ac:dyDescent="0.2">
      <c r="M132">
        <f t="shared" si="32"/>
        <v>0</v>
      </c>
      <c r="N132">
        <f t="shared" ca="1" si="20"/>
        <v>0</v>
      </c>
      <c r="O132">
        <f t="shared" ca="1" si="33"/>
        <v>0</v>
      </c>
      <c r="P132">
        <f t="shared" ca="1" si="22"/>
        <v>0</v>
      </c>
      <c r="Q132">
        <f ca="1">IF(AND(P132&gt;0,SUM($Q$4:Q131)=0),ROW(),0)</f>
        <v>0</v>
      </c>
      <c r="R132">
        <f t="shared" ca="1" si="23"/>
        <v>0</v>
      </c>
      <c r="S132">
        <f t="shared" si="24"/>
        <v>0</v>
      </c>
      <c r="U132">
        <f t="shared" si="30"/>
        <v>0</v>
      </c>
      <c r="V132">
        <f t="shared" ca="1" si="25"/>
        <v>0</v>
      </c>
      <c r="W132">
        <f t="shared" ca="1" si="26"/>
        <v>0</v>
      </c>
      <c r="X132">
        <f t="shared" ca="1" si="31"/>
        <v>0</v>
      </c>
      <c r="Y132">
        <f ca="1">IF(AND(X132&gt;0,SUM($Y$4:Y131)=0),ROW(),0)</f>
        <v>0</v>
      </c>
      <c r="Z132">
        <f t="shared" ca="1" si="27"/>
        <v>0</v>
      </c>
      <c r="AA132">
        <f t="shared" si="28"/>
        <v>0</v>
      </c>
    </row>
    <row r="133" spans="13:27" x14ac:dyDescent="0.2">
      <c r="M133">
        <f t="shared" si="32"/>
        <v>0</v>
      </c>
      <c r="N133">
        <f t="shared" ref="N133:N196" ca="1" si="34">IF(AND(M133&gt;0,M133&lt;=INDIRECT(ADDRESS(8,3+$J$18-1))+2),$C$27*M133*M133+$D$27*M133+$E$27,0)</f>
        <v>0</v>
      </c>
      <c r="O133">
        <f t="shared" ca="1" si="33"/>
        <v>0</v>
      </c>
      <c r="P133">
        <f t="shared" ref="P133:P196" ca="1" si="35">IF(AND(M133&gt;=$K$27-0.5, M133&lt;=$K$27+0.5),IF(AND(M133&lt;=$K$27,M133&gt;0),N133,O133),0)</f>
        <v>0</v>
      </c>
      <c r="Q133">
        <f ca="1">IF(AND(P133&gt;0,SUM($Q$4:Q132)=0),ROW(),0)</f>
        <v>0</v>
      </c>
      <c r="R133">
        <f t="shared" ref="R133:R196" ca="1" si="36">IF(P133&gt;0,$C$31*M133^6+$D$31*M133^5+$E$31*M133^4+$F$31*M133^3+$G$31*M133^2+$H$31*M133+$I$31,0)</f>
        <v>0</v>
      </c>
      <c r="S133">
        <f t="shared" ref="S133:S196" si="37">IF(M133&gt;0,IF(R133&gt;0,R133,IF(M133&lt;=$K$27,N133,O133)),0)</f>
        <v>0</v>
      </c>
      <c r="U133">
        <f t="shared" si="30"/>
        <v>0</v>
      </c>
      <c r="V133">
        <f t="shared" ref="V133:V196" ca="1" si="38">IF(AND(U133&gt;0,U133&lt;=INDIRECT(ADDRESS(8,3+$J$22-1))+2),$C$35*U133*U133+$D$35*U133+$E$35,0)</f>
        <v>0</v>
      </c>
      <c r="W133">
        <f t="shared" ref="W133:W196" ca="1" si="39">IF(AND(U133&gt;0,U133&gt;=INDIRECT(ADDRESS(8,3+$J$22))-2),$C$36*U133*U133+$D$36*U133+$E$36,0)</f>
        <v>0</v>
      </c>
      <c r="X133">
        <f t="shared" ca="1" si="31"/>
        <v>0</v>
      </c>
      <c r="Y133">
        <f ca="1">IF(AND(X133&gt;0,SUM($Y$4:Y132)=0),ROW(),0)</f>
        <v>0</v>
      </c>
      <c r="Z133">
        <f t="shared" ref="Z133:Z196" ca="1" si="40">IF(X133&gt;0,$C$39*U133^6+$D$39*U133^5+$E$39*U133^4+$F$39*U133^3+$G$39*U133^2+$H$39*U133+$I$39,0)</f>
        <v>0</v>
      </c>
      <c r="AA133">
        <f t="shared" ref="AA133:AA196" si="41">IF(U133&gt;0,IF(Z133&gt;0,Z133,IF(U133&lt;=$K$35,V133,W133)),0)</f>
        <v>0</v>
      </c>
    </row>
    <row r="134" spans="13:27" x14ac:dyDescent="0.2">
      <c r="M134">
        <f t="shared" si="32"/>
        <v>0</v>
      </c>
      <c r="N134">
        <f t="shared" ca="1" si="34"/>
        <v>0</v>
      </c>
      <c r="O134">
        <f t="shared" ca="1" si="33"/>
        <v>0</v>
      </c>
      <c r="P134">
        <f t="shared" ca="1" si="35"/>
        <v>0</v>
      </c>
      <c r="Q134">
        <f ca="1">IF(AND(P134&gt;0,SUM($Q$4:Q133)=0),ROW(),0)</f>
        <v>0</v>
      </c>
      <c r="R134">
        <f t="shared" ca="1" si="36"/>
        <v>0</v>
      </c>
      <c r="S134">
        <f t="shared" si="37"/>
        <v>0</v>
      </c>
      <c r="U134">
        <f t="shared" si="30"/>
        <v>0</v>
      </c>
      <c r="V134">
        <f t="shared" ca="1" si="38"/>
        <v>0</v>
      </c>
      <c r="W134">
        <f t="shared" ca="1" si="39"/>
        <v>0</v>
      </c>
      <c r="X134">
        <f t="shared" ca="1" si="31"/>
        <v>0</v>
      </c>
      <c r="Y134">
        <f ca="1">IF(AND(X134&gt;0,SUM($Y$4:Y133)=0),ROW(),0)</f>
        <v>0</v>
      </c>
      <c r="Z134">
        <f t="shared" ca="1" si="40"/>
        <v>0</v>
      </c>
      <c r="AA134">
        <f t="shared" si="41"/>
        <v>0</v>
      </c>
    </row>
    <row r="135" spans="13:27" x14ac:dyDescent="0.2">
      <c r="M135">
        <f t="shared" si="32"/>
        <v>0</v>
      </c>
      <c r="N135">
        <f t="shared" ca="1" si="34"/>
        <v>0</v>
      </c>
      <c r="O135">
        <f t="shared" ca="1" si="33"/>
        <v>0</v>
      </c>
      <c r="P135">
        <f t="shared" ca="1" si="35"/>
        <v>0</v>
      </c>
      <c r="Q135">
        <f ca="1">IF(AND(P135&gt;0,SUM($Q$4:Q134)=0),ROW(),0)</f>
        <v>0</v>
      </c>
      <c r="R135">
        <f t="shared" ca="1" si="36"/>
        <v>0</v>
      </c>
      <c r="S135">
        <f t="shared" si="37"/>
        <v>0</v>
      </c>
      <c r="U135">
        <f t="shared" si="30"/>
        <v>0</v>
      </c>
      <c r="V135">
        <f t="shared" ca="1" si="38"/>
        <v>0</v>
      </c>
      <c r="W135">
        <f t="shared" ca="1" si="39"/>
        <v>0</v>
      </c>
      <c r="X135">
        <f t="shared" ca="1" si="31"/>
        <v>0</v>
      </c>
      <c r="Y135">
        <f ca="1">IF(AND(X135&gt;0,SUM($Y$4:Y134)=0),ROW(),0)</f>
        <v>0</v>
      </c>
      <c r="Z135">
        <f t="shared" ca="1" si="40"/>
        <v>0</v>
      </c>
      <c r="AA135">
        <f t="shared" si="41"/>
        <v>0</v>
      </c>
    </row>
    <row r="136" spans="13:27" x14ac:dyDescent="0.2">
      <c r="M136">
        <f t="shared" si="32"/>
        <v>0</v>
      </c>
      <c r="N136">
        <f t="shared" ca="1" si="34"/>
        <v>0</v>
      </c>
      <c r="O136">
        <f t="shared" ca="1" si="33"/>
        <v>0</v>
      </c>
      <c r="P136">
        <f t="shared" ca="1" si="35"/>
        <v>0</v>
      </c>
      <c r="Q136">
        <f ca="1">IF(AND(P136&gt;0,SUM($Q$4:Q135)=0),ROW(),0)</f>
        <v>0</v>
      </c>
      <c r="R136">
        <f t="shared" ca="1" si="36"/>
        <v>0</v>
      </c>
      <c r="S136">
        <f t="shared" si="37"/>
        <v>0</v>
      </c>
      <c r="U136">
        <f t="shared" si="30"/>
        <v>0</v>
      </c>
      <c r="V136">
        <f t="shared" ca="1" si="38"/>
        <v>0</v>
      </c>
      <c r="W136">
        <f t="shared" ca="1" si="39"/>
        <v>0</v>
      </c>
      <c r="X136">
        <f t="shared" ca="1" si="31"/>
        <v>0</v>
      </c>
      <c r="Y136">
        <f ca="1">IF(AND(X136&gt;0,SUM($Y$4:Y135)=0),ROW(),0)</f>
        <v>0</v>
      </c>
      <c r="Z136">
        <f t="shared" ca="1" si="40"/>
        <v>0</v>
      </c>
      <c r="AA136">
        <f t="shared" si="41"/>
        <v>0</v>
      </c>
    </row>
    <row r="137" spans="13:27" x14ac:dyDescent="0.2">
      <c r="M137">
        <f t="shared" si="32"/>
        <v>0</v>
      </c>
      <c r="N137">
        <f t="shared" ca="1" si="34"/>
        <v>0</v>
      </c>
      <c r="O137">
        <f t="shared" ca="1" si="33"/>
        <v>0</v>
      </c>
      <c r="P137">
        <f t="shared" ca="1" si="35"/>
        <v>0</v>
      </c>
      <c r="Q137">
        <f ca="1">IF(AND(P137&gt;0,SUM($Q$4:Q136)=0),ROW(),0)</f>
        <v>0</v>
      </c>
      <c r="R137">
        <f t="shared" ca="1" si="36"/>
        <v>0</v>
      </c>
      <c r="S137">
        <f t="shared" si="37"/>
        <v>0</v>
      </c>
      <c r="U137">
        <f t="shared" ref="U137:U200" si="42">IF(AND(U136&gt;0,U136&lt;=MAX($C$8:$H$8)),U136+0.1,0)</f>
        <v>0</v>
      </c>
      <c r="V137">
        <f t="shared" ca="1" si="38"/>
        <v>0</v>
      </c>
      <c r="W137">
        <f t="shared" ca="1" si="39"/>
        <v>0</v>
      </c>
      <c r="X137">
        <f t="shared" ca="1" si="31"/>
        <v>0</v>
      </c>
      <c r="Y137">
        <f ca="1">IF(AND(X137&gt;0,SUM($Y$4:Y136)=0),ROW(),0)</f>
        <v>0</v>
      </c>
      <c r="Z137">
        <f t="shared" ca="1" si="40"/>
        <v>0</v>
      </c>
      <c r="AA137">
        <f t="shared" si="41"/>
        <v>0</v>
      </c>
    </row>
    <row r="138" spans="13:27" x14ac:dyDescent="0.2">
      <c r="M138">
        <f t="shared" si="32"/>
        <v>0</v>
      </c>
      <c r="N138">
        <f t="shared" ca="1" si="34"/>
        <v>0</v>
      </c>
      <c r="O138">
        <f t="shared" ca="1" si="33"/>
        <v>0</v>
      </c>
      <c r="P138">
        <f t="shared" ca="1" si="35"/>
        <v>0</v>
      </c>
      <c r="Q138">
        <f ca="1">IF(AND(P138&gt;0,SUM($Q$4:Q137)=0),ROW(),0)</f>
        <v>0</v>
      </c>
      <c r="R138">
        <f t="shared" ca="1" si="36"/>
        <v>0</v>
      </c>
      <c r="S138">
        <f t="shared" si="37"/>
        <v>0</v>
      </c>
      <c r="U138">
        <f t="shared" si="42"/>
        <v>0</v>
      </c>
      <c r="V138">
        <f t="shared" ca="1" si="38"/>
        <v>0</v>
      </c>
      <c r="W138">
        <f t="shared" ca="1" si="39"/>
        <v>0</v>
      </c>
      <c r="X138">
        <f t="shared" ca="1" si="31"/>
        <v>0</v>
      </c>
      <c r="Y138">
        <f ca="1">IF(AND(X138&gt;0,SUM($Y$4:Y137)=0),ROW(),0)</f>
        <v>0</v>
      </c>
      <c r="Z138">
        <f t="shared" ca="1" si="40"/>
        <v>0</v>
      </c>
      <c r="AA138">
        <f t="shared" si="41"/>
        <v>0</v>
      </c>
    </row>
    <row r="139" spans="13:27" x14ac:dyDescent="0.2">
      <c r="M139">
        <f t="shared" si="32"/>
        <v>0</v>
      </c>
      <c r="N139">
        <f t="shared" ca="1" si="34"/>
        <v>0</v>
      </c>
      <c r="O139">
        <f t="shared" ca="1" si="33"/>
        <v>0</v>
      </c>
      <c r="P139">
        <f t="shared" ca="1" si="35"/>
        <v>0</v>
      </c>
      <c r="Q139">
        <f ca="1">IF(AND(P139&gt;0,SUM($Q$4:Q138)=0),ROW(),0)</f>
        <v>0</v>
      </c>
      <c r="R139">
        <f t="shared" ca="1" si="36"/>
        <v>0</v>
      </c>
      <c r="S139">
        <f t="shared" si="37"/>
        <v>0</v>
      </c>
      <c r="U139">
        <f t="shared" si="42"/>
        <v>0</v>
      </c>
      <c r="V139">
        <f t="shared" ca="1" si="38"/>
        <v>0</v>
      </c>
      <c r="W139">
        <f t="shared" ca="1" si="39"/>
        <v>0</v>
      </c>
      <c r="X139">
        <f t="shared" ca="1" si="31"/>
        <v>0</v>
      </c>
      <c r="Y139">
        <f ca="1">IF(AND(X139&gt;0,SUM($Y$4:Y138)=0),ROW(),0)</f>
        <v>0</v>
      </c>
      <c r="Z139">
        <f t="shared" ca="1" si="40"/>
        <v>0</v>
      </c>
      <c r="AA139">
        <f t="shared" si="41"/>
        <v>0</v>
      </c>
    </row>
    <row r="140" spans="13:27" x14ac:dyDescent="0.2">
      <c r="M140">
        <f t="shared" si="32"/>
        <v>0</v>
      </c>
      <c r="N140">
        <f t="shared" ca="1" si="34"/>
        <v>0</v>
      </c>
      <c r="O140">
        <f t="shared" ca="1" si="33"/>
        <v>0</v>
      </c>
      <c r="P140">
        <f t="shared" ca="1" si="35"/>
        <v>0</v>
      </c>
      <c r="Q140">
        <f ca="1">IF(AND(P140&gt;0,SUM($Q$4:Q139)=0),ROW(),0)</f>
        <v>0</v>
      </c>
      <c r="R140">
        <f t="shared" ca="1" si="36"/>
        <v>0</v>
      </c>
      <c r="S140">
        <f t="shared" si="37"/>
        <v>0</v>
      </c>
      <c r="U140">
        <f t="shared" si="42"/>
        <v>0</v>
      </c>
      <c r="V140">
        <f t="shared" ca="1" si="38"/>
        <v>0</v>
      </c>
      <c r="W140">
        <f t="shared" ca="1" si="39"/>
        <v>0</v>
      </c>
      <c r="X140">
        <f t="shared" ca="1" si="31"/>
        <v>0</v>
      </c>
      <c r="Y140">
        <f ca="1">IF(AND(X140&gt;0,SUM($Y$4:Y139)=0),ROW(),0)</f>
        <v>0</v>
      </c>
      <c r="Z140">
        <f t="shared" ca="1" si="40"/>
        <v>0</v>
      </c>
      <c r="AA140">
        <f t="shared" si="41"/>
        <v>0</v>
      </c>
    </row>
    <row r="141" spans="13:27" x14ac:dyDescent="0.2">
      <c r="M141">
        <f t="shared" si="32"/>
        <v>0</v>
      </c>
      <c r="N141">
        <f t="shared" ca="1" si="34"/>
        <v>0</v>
      </c>
      <c r="O141">
        <f t="shared" ca="1" si="33"/>
        <v>0</v>
      </c>
      <c r="P141">
        <f t="shared" ca="1" si="35"/>
        <v>0</v>
      </c>
      <c r="Q141">
        <f ca="1">IF(AND(P141&gt;0,SUM($Q$4:Q140)=0),ROW(),0)</f>
        <v>0</v>
      </c>
      <c r="R141">
        <f t="shared" ca="1" si="36"/>
        <v>0</v>
      </c>
      <c r="S141">
        <f t="shared" si="37"/>
        <v>0</v>
      </c>
      <c r="U141">
        <f t="shared" si="42"/>
        <v>0</v>
      </c>
      <c r="V141">
        <f t="shared" ca="1" si="38"/>
        <v>0</v>
      </c>
      <c r="W141">
        <f t="shared" ca="1" si="39"/>
        <v>0</v>
      </c>
      <c r="X141">
        <f t="shared" ca="1" si="31"/>
        <v>0</v>
      </c>
      <c r="Y141">
        <f ca="1">IF(AND(X141&gt;0,SUM($Y$4:Y140)=0),ROW(),0)</f>
        <v>0</v>
      </c>
      <c r="Z141">
        <f t="shared" ca="1" si="40"/>
        <v>0</v>
      </c>
      <c r="AA141">
        <f t="shared" si="41"/>
        <v>0</v>
      </c>
    </row>
    <row r="142" spans="13:27" x14ac:dyDescent="0.2">
      <c r="M142">
        <f t="shared" si="32"/>
        <v>0</v>
      </c>
      <c r="N142">
        <f t="shared" ca="1" si="34"/>
        <v>0</v>
      </c>
      <c r="O142">
        <f t="shared" ca="1" si="33"/>
        <v>0</v>
      </c>
      <c r="P142">
        <f t="shared" ca="1" si="35"/>
        <v>0</v>
      </c>
      <c r="Q142">
        <f ca="1">IF(AND(P142&gt;0,SUM($Q$4:Q141)=0),ROW(),0)</f>
        <v>0</v>
      </c>
      <c r="R142">
        <f t="shared" ca="1" si="36"/>
        <v>0</v>
      </c>
      <c r="S142">
        <f t="shared" si="37"/>
        <v>0</v>
      </c>
      <c r="U142">
        <f t="shared" si="42"/>
        <v>0</v>
      </c>
      <c r="V142">
        <f t="shared" ca="1" si="38"/>
        <v>0</v>
      </c>
      <c r="W142">
        <f t="shared" ca="1" si="39"/>
        <v>0</v>
      </c>
      <c r="X142">
        <f t="shared" ca="1" si="31"/>
        <v>0</v>
      </c>
      <c r="Y142">
        <f ca="1">IF(AND(X142&gt;0,SUM($Y$4:Y141)=0),ROW(),0)</f>
        <v>0</v>
      </c>
      <c r="Z142">
        <f t="shared" ca="1" si="40"/>
        <v>0</v>
      </c>
      <c r="AA142">
        <f t="shared" si="41"/>
        <v>0</v>
      </c>
    </row>
    <row r="143" spans="13:27" x14ac:dyDescent="0.2">
      <c r="M143">
        <f t="shared" si="32"/>
        <v>0</v>
      </c>
      <c r="N143">
        <f t="shared" ca="1" si="34"/>
        <v>0</v>
      </c>
      <c r="O143">
        <f t="shared" ca="1" si="33"/>
        <v>0</v>
      </c>
      <c r="P143">
        <f t="shared" ca="1" si="35"/>
        <v>0</v>
      </c>
      <c r="Q143">
        <f ca="1">IF(AND(P143&gt;0,SUM($Q$4:Q142)=0),ROW(),0)</f>
        <v>0</v>
      </c>
      <c r="R143">
        <f t="shared" ca="1" si="36"/>
        <v>0</v>
      </c>
      <c r="S143">
        <f t="shared" si="37"/>
        <v>0</v>
      </c>
      <c r="U143">
        <f t="shared" si="42"/>
        <v>0</v>
      </c>
      <c r="V143">
        <f t="shared" ca="1" si="38"/>
        <v>0</v>
      </c>
      <c r="W143">
        <f t="shared" ca="1" si="39"/>
        <v>0</v>
      </c>
      <c r="X143">
        <f t="shared" ca="1" si="31"/>
        <v>0</v>
      </c>
      <c r="Y143">
        <f ca="1">IF(AND(X143&gt;0,SUM($Y$4:Y142)=0),ROW(),0)</f>
        <v>0</v>
      </c>
      <c r="Z143">
        <f t="shared" ca="1" si="40"/>
        <v>0</v>
      </c>
      <c r="AA143">
        <f t="shared" si="41"/>
        <v>0</v>
      </c>
    </row>
    <row r="144" spans="13:27" x14ac:dyDescent="0.2">
      <c r="M144">
        <f t="shared" si="32"/>
        <v>0</v>
      </c>
      <c r="N144">
        <f t="shared" ca="1" si="34"/>
        <v>0</v>
      </c>
      <c r="O144">
        <f t="shared" ca="1" si="33"/>
        <v>0</v>
      </c>
      <c r="P144">
        <f t="shared" ca="1" si="35"/>
        <v>0</v>
      </c>
      <c r="Q144">
        <f ca="1">IF(AND(P144&gt;0,SUM($Q$4:Q143)=0),ROW(),0)</f>
        <v>0</v>
      </c>
      <c r="R144">
        <f t="shared" ca="1" si="36"/>
        <v>0</v>
      </c>
      <c r="S144">
        <f t="shared" si="37"/>
        <v>0</v>
      </c>
      <c r="U144">
        <f t="shared" si="42"/>
        <v>0</v>
      </c>
      <c r="V144">
        <f t="shared" ca="1" si="38"/>
        <v>0</v>
      </c>
      <c r="W144">
        <f t="shared" ca="1" si="39"/>
        <v>0</v>
      </c>
      <c r="X144">
        <f t="shared" ca="1" si="31"/>
        <v>0</v>
      </c>
      <c r="Y144">
        <f ca="1">IF(AND(X144&gt;0,SUM($Y$4:Y143)=0),ROW(),0)</f>
        <v>0</v>
      </c>
      <c r="Z144">
        <f t="shared" ca="1" si="40"/>
        <v>0</v>
      </c>
      <c r="AA144">
        <f t="shared" si="41"/>
        <v>0</v>
      </c>
    </row>
    <row r="145" spans="13:27" x14ac:dyDescent="0.2">
      <c r="M145">
        <f t="shared" si="32"/>
        <v>0</v>
      </c>
      <c r="N145">
        <f t="shared" ca="1" si="34"/>
        <v>0</v>
      </c>
      <c r="O145">
        <f t="shared" ca="1" si="33"/>
        <v>0</v>
      </c>
      <c r="P145">
        <f t="shared" ca="1" si="35"/>
        <v>0</v>
      </c>
      <c r="Q145">
        <f ca="1">IF(AND(P145&gt;0,SUM($Q$4:Q144)=0),ROW(),0)</f>
        <v>0</v>
      </c>
      <c r="R145">
        <f t="shared" ca="1" si="36"/>
        <v>0</v>
      </c>
      <c r="S145">
        <f t="shared" si="37"/>
        <v>0</v>
      </c>
      <c r="U145">
        <f t="shared" si="42"/>
        <v>0</v>
      </c>
      <c r="V145">
        <f t="shared" ca="1" si="38"/>
        <v>0</v>
      </c>
      <c r="W145">
        <f t="shared" ca="1" si="39"/>
        <v>0</v>
      </c>
      <c r="X145">
        <f t="shared" ca="1" si="31"/>
        <v>0</v>
      </c>
      <c r="Y145">
        <f ca="1">IF(AND(X145&gt;0,SUM($Y$4:Y144)=0),ROW(),0)</f>
        <v>0</v>
      </c>
      <c r="Z145">
        <f t="shared" ca="1" si="40"/>
        <v>0</v>
      </c>
      <c r="AA145">
        <f t="shared" si="41"/>
        <v>0</v>
      </c>
    </row>
    <row r="146" spans="13:27" x14ac:dyDescent="0.2">
      <c r="M146">
        <f t="shared" si="32"/>
        <v>0</v>
      </c>
      <c r="N146">
        <f t="shared" ca="1" si="34"/>
        <v>0</v>
      </c>
      <c r="O146">
        <f t="shared" ca="1" si="33"/>
        <v>0</v>
      </c>
      <c r="P146">
        <f t="shared" ca="1" si="35"/>
        <v>0</v>
      </c>
      <c r="Q146">
        <f ca="1">IF(AND(P146&gt;0,SUM($Q$4:Q145)=0),ROW(),0)</f>
        <v>0</v>
      </c>
      <c r="R146">
        <f t="shared" ca="1" si="36"/>
        <v>0</v>
      </c>
      <c r="S146">
        <f t="shared" si="37"/>
        <v>0</v>
      </c>
      <c r="U146">
        <f t="shared" si="42"/>
        <v>0</v>
      </c>
      <c r="V146">
        <f t="shared" ca="1" si="38"/>
        <v>0</v>
      </c>
      <c r="W146">
        <f t="shared" ca="1" si="39"/>
        <v>0</v>
      </c>
      <c r="X146">
        <f t="shared" ca="1" si="31"/>
        <v>0</v>
      </c>
      <c r="Y146">
        <f ca="1">IF(AND(X146&gt;0,SUM($Y$4:Y145)=0),ROW(),0)</f>
        <v>0</v>
      </c>
      <c r="Z146">
        <f t="shared" ca="1" si="40"/>
        <v>0</v>
      </c>
      <c r="AA146">
        <f t="shared" si="41"/>
        <v>0</v>
      </c>
    </row>
    <row r="147" spans="13:27" x14ac:dyDescent="0.2">
      <c r="M147">
        <f t="shared" si="32"/>
        <v>0</v>
      </c>
      <c r="N147">
        <f t="shared" ca="1" si="34"/>
        <v>0</v>
      </c>
      <c r="O147">
        <f t="shared" ca="1" si="33"/>
        <v>0</v>
      </c>
      <c r="P147">
        <f t="shared" ca="1" si="35"/>
        <v>0</v>
      </c>
      <c r="Q147">
        <f ca="1">IF(AND(P147&gt;0,SUM($Q$4:Q146)=0),ROW(),0)</f>
        <v>0</v>
      </c>
      <c r="R147">
        <f t="shared" ca="1" si="36"/>
        <v>0</v>
      </c>
      <c r="S147">
        <f t="shared" si="37"/>
        <v>0</v>
      </c>
      <c r="U147">
        <f t="shared" si="42"/>
        <v>0</v>
      </c>
      <c r="V147">
        <f t="shared" ca="1" si="38"/>
        <v>0</v>
      </c>
      <c r="W147">
        <f t="shared" ca="1" si="39"/>
        <v>0</v>
      </c>
      <c r="X147">
        <f t="shared" ca="1" si="31"/>
        <v>0</v>
      </c>
      <c r="Y147">
        <f ca="1">IF(AND(X147&gt;0,SUM($Y$4:Y146)=0),ROW(),0)</f>
        <v>0</v>
      </c>
      <c r="Z147">
        <f t="shared" ca="1" si="40"/>
        <v>0</v>
      </c>
      <c r="AA147">
        <f t="shared" si="41"/>
        <v>0</v>
      </c>
    </row>
    <row r="148" spans="13:27" x14ac:dyDescent="0.2">
      <c r="M148">
        <f t="shared" si="32"/>
        <v>0</v>
      </c>
      <c r="N148">
        <f t="shared" ca="1" si="34"/>
        <v>0</v>
      </c>
      <c r="O148">
        <f t="shared" ca="1" si="33"/>
        <v>0</v>
      </c>
      <c r="P148">
        <f t="shared" ca="1" si="35"/>
        <v>0</v>
      </c>
      <c r="Q148">
        <f ca="1">IF(AND(P148&gt;0,SUM($Q$4:Q147)=0),ROW(),0)</f>
        <v>0</v>
      </c>
      <c r="R148">
        <f t="shared" ca="1" si="36"/>
        <v>0</v>
      </c>
      <c r="S148">
        <f t="shared" si="37"/>
        <v>0</v>
      </c>
      <c r="U148">
        <f t="shared" si="42"/>
        <v>0</v>
      </c>
      <c r="V148">
        <f t="shared" ca="1" si="38"/>
        <v>0</v>
      </c>
      <c r="W148">
        <f t="shared" ca="1" si="39"/>
        <v>0</v>
      </c>
      <c r="X148">
        <f t="shared" ca="1" si="31"/>
        <v>0</v>
      </c>
      <c r="Y148">
        <f ca="1">IF(AND(X148&gt;0,SUM($Y$4:Y147)=0),ROW(),0)</f>
        <v>0</v>
      </c>
      <c r="Z148">
        <f t="shared" ca="1" si="40"/>
        <v>0</v>
      </c>
      <c r="AA148">
        <f t="shared" si="41"/>
        <v>0</v>
      </c>
    </row>
    <row r="149" spans="13:27" x14ac:dyDescent="0.2">
      <c r="M149">
        <f t="shared" si="32"/>
        <v>0</v>
      </c>
      <c r="N149">
        <f t="shared" ca="1" si="34"/>
        <v>0</v>
      </c>
      <c r="O149">
        <f t="shared" ca="1" si="33"/>
        <v>0</v>
      </c>
      <c r="P149">
        <f t="shared" ca="1" si="35"/>
        <v>0</v>
      </c>
      <c r="Q149">
        <f ca="1">IF(AND(P149&gt;0,SUM($Q$4:Q148)=0),ROW(),0)</f>
        <v>0</v>
      </c>
      <c r="R149">
        <f t="shared" ca="1" si="36"/>
        <v>0</v>
      </c>
      <c r="S149">
        <f t="shared" si="37"/>
        <v>0</v>
      </c>
      <c r="U149">
        <f t="shared" si="42"/>
        <v>0</v>
      </c>
      <c r="V149">
        <f t="shared" ca="1" si="38"/>
        <v>0</v>
      </c>
      <c r="W149">
        <f t="shared" ca="1" si="39"/>
        <v>0</v>
      </c>
      <c r="X149">
        <f t="shared" ca="1" si="31"/>
        <v>0</v>
      </c>
      <c r="Y149">
        <f ca="1">IF(AND(X149&gt;0,SUM($Y$4:Y148)=0),ROW(),0)</f>
        <v>0</v>
      </c>
      <c r="Z149">
        <f t="shared" ca="1" si="40"/>
        <v>0</v>
      </c>
      <c r="AA149">
        <f t="shared" si="41"/>
        <v>0</v>
      </c>
    </row>
    <row r="150" spans="13:27" x14ac:dyDescent="0.2">
      <c r="M150">
        <f t="shared" si="32"/>
        <v>0</v>
      </c>
      <c r="N150">
        <f t="shared" ca="1" si="34"/>
        <v>0</v>
      </c>
      <c r="O150">
        <f t="shared" ca="1" si="33"/>
        <v>0</v>
      </c>
      <c r="P150">
        <f t="shared" ca="1" si="35"/>
        <v>0</v>
      </c>
      <c r="Q150">
        <f ca="1">IF(AND(P150&gt;0,SUM($Q$4:Q149)=0),ROW(),0)</f>
        <v>0</v>
      </c>
      <c r="R150">
        <f t="shared" ca="1" si="36"/>
        <v>0</v>
      </c>
      <c r="S150">
        <f t="shared" si="37"/>
        <v>0</v>
      </c>
      <c r="U150">
        <f t="shared" si="42"/>
        <v>0</v>
      </c>
      <c r="V150">
        <f t="shared" ca="1" si="38"/>
        <v>0</v>
      </c>
      <c r="W150">
        <f t="shared" ca="1" si="39"/>
        <v>0</v>
      </c>
      <c r="X150">
        <f t="shared" ca="1" si="31"/>
        <v>0</v>
      </c>
      <c r="Y150">
        <f ca="1">IF(AND(X150&gt;0,SUM($Y$4:Y149)=0),ROW(),0)</f>
        <v>0</v>
      </c>
      <c r="Z150">
        <f t="shared" ca="1" si="40"/>
        <v>0</v>
      </c>
      <c r="AA150">
        <f t="shared" si="41"/>
        <v>0</v>
      </c>
    </row>
    <row r="151" spans="13:27" x14ac:dyDescent="0.2">
      <c r="M151">
        <f t="shared" si="32"/>
        <v>0</v>
      </c>
      <c r="N151">
        <f t="shared" ca="1" si="34"/>
        <v>0</v>
      </c>
      <c r="O151">
        <f t="shared" ca="1" si="33"/>
        <v>0</v>
      </c>
      <c r="P151">
        <f t="shared" ca="1" si="35"/>
        <v>0</v>
      </c>
      <c r="Q151">
        <f ca="1">IF(AND(P151&gt;0,SUM($Q$4:Q150)=0),ROW(),0)</f>
        <v>0</v>
      </c>
      <c r="R151">
        <f t="shared" ca="1" si="36"/>
        <v>0</v>
      </c>
      <c r="S151">
        <f t="shared" si="37"/>
        <v>0</v>
      </c>
      <c r="U151">
        <f t="shared" si="42"/>
        <v>0</v>
      </c>
      <c r="V151">
        <f t="shared" ca="1" si="38"/>
        <v>0</v>
      </c>
      <c r="W151">
        <f t="shared" ca="1" si="39"/>
        <v>0</v>
      </c>
      <c r="X151">
        <f t="shared" ca="1" si="31"/>
        <v>0</v>
      </c>
      <c r="Y151">
        <f ca="1">IF(AND(X151&gt;0,SUM($Y$4:Y150)=0),ROW(),0)</f>
        <v>0</v>
      </c>
      <c r="Z151">
        <f t="shared" ca="1" si="40"/>
        <v>0</v>
      </c>
      <c r="AA151">
        <f t="shared" si="41"/>
        <v>0</v>
      </c>
    </row>
    <row r="152" spans="13:27" x14ac:dyDescent="0.2">
      <c r="M152">
        <f t="shared" si="32"/>
        <v>0</v>
      </c>
      <c r="N152">
        <f t="shared" ca="1" si="34"/>
        <v>0</v>
      </c>
      <c r="O152">
        <f t="shared" ca="1" si="33"/>
        <v>0</v>
      </c>
      <c r="P152">
        <f t="shared" ca="1" si="35"/>
        <v>0</v>
      </c>
      <c r="Q152">
        <f ca="1">IF(AND(P152&gt;0,SUM($Q$4:Q151)=0),ROW(),0)</f>
        <v>0</v>
      </c>
      <c r="R152">
        <f t="shared" ca="1" si="36"/>
        <v>0</v>
      </c>
      <c r="S152">
        <f t="shared" si="37"/>
        <v>0</v>
      </c>
      <c r="U152">
        <f t="shared" si="42"/>
        <v>0</v>
      </c>
      <c r="V152">
        <f t="shared" ca="1" si="38"/>
        <v>0</v>
      </c>
      <c r="W152">
        <f t="shared" ca="1" si="39"/>
        <v>0</v>
      </c>
      <c r="X152">
        <f t="shared" ca="1" si="31"/>
        <v>0</v>
      </c>
      <c r="Y152">
        <f ca="1">IF(AND(X152&gt;0,SUM($Y$4:Y151)=0),ROW(),0)</f>
        <v>0</v>
      </c>
      <c r="Z152">
        <f t="shared" ca="1" si="40"/>
        <v>0</v>
      </c>
      <c r="AA152">
        <f t="shared" si="41"/>
        <v>0</v>
      </c>
    </row>
    <row r="153" spans="13:27" x14ac:dyDescent="0.2">
      <c r="M153">
        <f t="shared" si="32"/>
        <v>0</v>
      </c>
      <c r="N153">
        <f t="shared" ca="1" si="34"/>
        <v>0</v>
      </c>
      <c r="O153">
        <f t="shared" ca="1" si="33"/>
        <v>0</v>
      </c>
      <c r="P153">
        <f t="shared" ca="1" si="35"/>
        <v>0</v>
      </c>
      <c r="Q153">
        <f ca="1">IF(AND(P153&gt;0,SUM($Q$4:Q152)=0),ROW(),0)</f>
        <v>0</v>
      </c>
      <c r="R153">
        <f t="shared" ca="1" si="36"/>
        <v>0</v>
      </c>
      <c r="S153">
        <f t="shared" si="37"/>
        <v>0</v>
      </c>
      <c r="U153">
        <f t="shared" si="42"/>
        <v>0</v>
      </c>
      <c r="V153">
        <f t="shared" ca="1" si="38"/>
        <v>0</v>
      </c>
      <c r="W153">
        <f t="shared" ca="1" si="39"/>
        <v>0</v>
      </c>
      <c r="X153">
        <f t="shared" ca="1" si="31"/>
        <v>0</v>
      </c>
      <c r="Y153">
        <f ca="1">IF(AND(X153&gt;0,SUM($Y$4:Y152)=0),ROW(),0)</f>
        <v>0</v>
      </c>
      <c r="Z153">
        <f t="shared" ca="1" si="40"/>
        <v>0</v>
      </c>
      <c r="AA153">
        <f t="shared" si="41"/>
        <v>0</v>
      </c>
    </row>
    <row r="154" spans="13:27" x14ac:dyDescent="0.2">
      <c r="M154">
        <f t="shared" si="32"/>
        <v>0</v>
      </c>
      <c r="N154">
        <f t="shared" ca="1" si="34"/>
        <v>0</v>
      </c>
      <c r="O154">
        <f t="shared" ca="1" si="33"/>
        <v>0</v>
      </c>
      <c r="P154">
        <f t="shared" ca="1" si="35"/>
        <v>0</v>
      </c>
      <c r="Q154">
        <f ca="1">IF(AND(P154&gt;0,SUM($Q$4:Q153)=0),ROW(),0)</f>
        <v>0</v>
      </c>
      <c r="R154">
        <f t="shared" ca="1" si="36"/>
        <v>0</v>
      </c>
      <c r="S154">
        <f t="shared" si="37"/>
        <v>0</v>
      </c>
      <c r="U154">
        <f t="shared" si="42"/>
        <v>0</v>
      </c>
      <c r="V154">
        <f t="shared" ca="1" si="38"/>
        <v>0</v>
      </c>
      <c r="W154">
        <f t="shared" ca="1" si="39"/>
        <v>0</v>
      </c>
      <c r="X154">
        <f t="shared" ca="1" si="31"/>
        <v>0</v>
      </c>
      <c r="Y154">
        <f ca="1">IF(AND(X154&gt;0,SUM($Y$4:Y153)=0),ROW(),0)</f>
        <v>0</v>
      </c>
      <c r="Z154">
        <f t="shared" ca="1" si="40"/>
        <v>0</v>
      </c>
      <c r="AA154">
        <f t="shared" si="41"/>
        <v>0</v>
      </c>
    </row>
    <row r="155" spans="13:27" x14ac:dyDescent="0.2">
      <c r="M155">
        <f t="shared" si="32"/>
        <v>0</v>
      </c>
      <c r="N155">
        <f t="shared" ca="1" si="34"/>
        <v>0</v>
      </c>
      <c r="O155">
        <f t="shared" ca="1" si="33"/>
        <v>0</v>
      </c>
      <c r="P155">
        <f t="shared" ca="1" si="35"/>
        <v>0</v>
      </c>
      <c r="Q155">
        <f ca="1">IF(AND(P155&gt;0,SUM($Q$4:Q154)=0),ROW(),0)</f>
        <v>0</v>
      </c>
      <c r="R155">
        <f t="shared" ca="1" si="36"/>
        <v>0</v>
      </c>
      <c r="S155">
        <f t="shared" si="37"/>
        <v>0</v>
      </c>
      <c r="U155">
        <f t="shared" si="42"/>
        <v>0</v>
      </c>
      <c r="V155">
        <f t="shared" ca="1" si="38"/>
        <v>0</v>
      </c>
      <c r="W155">
        <f t="shared" ca="1" si="39"/>
        <v>0</v>
      </c>
      <c r="X155">
        <f t="shared" ca="1" si="31"/>
        <v>0</v>
      </c>
      <c r="Y155">
        <f ca="1">IF(AND(X155&gt;0,SUM($Y$4:Y154)=0),ROW(),0)</f>
        <v>0</v>
      </c>
      <c r="Z155">
        <f t="shared" ca="1" si="40"/>
        <v>0</v>
      </c>
      <c r="AA155">
        <f t="shared" si="41"/>
        <v>0</v>
      </c>
    </row>
    <row r="156" spans="13:27" x14ac:dyDescent="0.2">
      <c r="M156">
        <f t="shared" si="32"/>
        <v>0</v>
      </c>
      <c r="N156">
        <f t="shared" ca="1" si="34"/>
        <v>0</v>
      </c>
      <c r="O156">
        <f t="shared" ca="1" si="33"/>
        <v>0</v>
      </c>
      <c r="P156">
        <f t="shared" ca="1" si="35"/>
        <v>0</v>
      </c>
      <c r="Q156">
        <f ca="1">IF(AND(P156&gt;0,SUM($Q$4:Q155)=0),ROW(),0)</f>
        <v>0</v>
      </c>
      <c r="R156">
        <f t="shared" ca="1" si="36"/>
        <v>0</v>
      </c>
      <c r="S156">
        <f t="shared" si="37"/>
        <v>0</v>
      </c>
      <c r="U156">
        <f t="shared" si="42"/>
        <v>0</v>
      </c>
      <c r="V156">
        <f t="shared" ca="1" si="38"/>
        <v>0</v>
      </c>
      <c r="W156">
        <f t="shared" ca="1" si="39"/>
        <v>0</v>
      </c>
      <c r="X156">
        <f t="shared" ca="1" si="31"/>
        <v>0</v>
      </c>
      <c r="Y156">
        <f ca="1">IF(AND(X156&gt;0,SUM($Y$4:Y155)=0),ROW(),0)</f>
        <v>0</v>
      </c>
      <c r="Z156">
        <f t="shared" ca="1" si="40"/>
        <v>0</v>
      </c>
      <c r="AA156">
        <f t="shared" si="41"/>
        <v>0</v>
      </c>
    </row>
    <row r="157" spans="13:27" x14ac:dyDescent="0.2">
      <c r="M157">
        <f t="shared" si="32"/>
        <v>0</v>
      </c>
      <c r="N157">
        <f t="shared" ca="1" si="34"/>
        <v>0</v>
      </c>
      <c r="O157">
        <f t="shared" ca="1" si="33"/>
        <v>0</v>
      </c>
      <c r="P157">
        <f t="shared" ca="1" si="35"/>
        <v>0</v>
      </c>
      <c r="Q157">
        <f ca="1">IF(AND(P157&gt;0,SUM($Q$4:Q156)=0),ROW(),0)</f>
        <v>0</v>
      </c>
      <c r="R157">
        <f t="shared" ca="1" si="36"/>
        <v>0</v>
      </c>
      <c r="S157">
        <f t="shared" si="37"/>
        <v>0</v>
      </c>
      <c r="U157">
        <f t="shared" si="42"/>
        <v>0</v>
      </c>
      <c r="V157">
        <f t="shared" ca="1" si="38"/>
        <v>0</v>
      </c>
      <c r="W157">
        <f t="shared" ca="1" si="39"/>
        <v>0</v>
      </c>
      <c r="X157">
        <f t="shared" ca="1" si="31"/>
        <v>0</v>
      </c>
      <c r="Y157">
        <f ca="1">IF(AND(X157&gt;0,SUM($Y$4:Y156)=0),ROW(),0)</f>
        <v>0</v>
      </c>
      <c r="Z157">
        <f t="shared" ca="1" si="40"/>
        <v>0</v>
      </c>
      <c r="AA157">
        <f t="shared" si="41"/>
        <v>0</v>
      </c>
    </row>
    <row r="158" spans="13:27" x14ac:dyDescent="0.2">
      <c r="M158">
        <f t="shared" si="32"/>
        <v>0</v>
      </c>
      <c r="N158">
        <f t="shared" ca="1" si="34"/>
        <v>0</v>
      </c>
      <c r="O158">
        <f t="shared" ca="1" si="33"/>
        <v>0</v>
      </c>
      <c r="P158">
        <f t="shared" ca="1" si="35"/>
        <v>0</v>
      </c>
      <c r="Q158">
        <f ca="1">IF(AND(P158&gt;0,SUM($Q$4:Q157)=0),ROW(),0)</f>
        <v>0</v>
      </c>
      <c r="R158">
        <f t="shared" ca="1" si="36"/>
        <v>0</v>
      </c>
      <c r="S158">
        <f t="shared" si="37"/>
        <v>0</v>
      </c>
      <c r="U158">
        <f t="shared" si="42"/>
        <v>0</v>
      </c>
      <c r="V158">
        <f t="shared" ca="1" si="38"/>
        <v>0</v>
      </c>
      <c r="W158">
        <f t="shared" ca="1" si="39"/>
        <v>0</v>
      </c>
      <c r="X158">
        <f t="shared" ca="1" si="31"/>
        <v>0</v>
      </c>
      <c r="Y158">
        <f ca="1">IF(AND(X158&gt;0,SUM($Y$4:Y157)=0),ROW(),0)</f>
        <v>0</v>
      </c>
      <c r="Z158">
        <f t="shared" ca="1" si="40"/>
        <v>0</v>
      </c>
      <c r="AA158">
        <f t="shared" si="41"/>
        <v>0</v>
      </c>
    </row>
    <row r="159" spans="13:27" x14ac:dyDescent="0.2">
      <c r="M159">
        <f t="shared" si="32"/>
        <v>0</v>
      </c>
      <c r="N159">
        <f t="shared" ca="1" si="34"/>
        <v>0</v>
      </c>
      <c r="O159">
        <f t="shared" ca="1" si="33"/>
        <v>0</v>
      </c>
      <c r="P159">
        <f t="shared" ca="1" si="35"/>
        <v>0</v>
      </c>
      <c r="Q159">
        <f ca="1">IF(AND(P159&gt;0,SUM($Q$4:Q158)=0),ROW(),0)</f>
        <v>0</v>
      </c>
      <c r="R159">
        <f t="shared" ca="1" si="36"/>
        <v>0</v>
      </c>
      <c r="S159">
        <f t="shared" si="37"/>
        <v>0</v>
      </c>
      <c r="U159">
        <f t="shared" si="42"/>
        <v>0</v>
      </c>
      <c r="V159">
        <f t="shared" ca="1" si="38"/>
        <v>0</v>
      </c>
      <c r="W159">
        <f t="shared" ca="1" si="39"/>
        <v>0</v>
      </c>
      <c r="X159">
        <f t="shared" ca="1" si="31"/>
        <v>0</v>
      </c>
      <c r="Y159">
        <f ca="1">IF(AND(X159&gt;0,SUM($Y$4:Y158)=0),ROW(),0)</f>
        <v>0</v>
      </c>
      <c r="Z159">
        <f t="shared" ca="1" si="40"/>
        <v>0</v>
      </c>
      <c r="AA159">
        <f t="shared" si="41"/>
        <v>0</v>
      </c>
    </row>
    <row r="160" spans="13:27" x14ac:dyDescent="0.2">
      <c r="M160">
        <f t="shared" si="32"/>
        <v>0</v>
      </c>
      <c r="N160">
        <f t="shared" ca="1" si="34"/>
        <v>0</v>
      </c>
      <c r="O160">
        <f t="shared" ca="1" si="33"/>
        <v>0</v>
      </c>
      <c r="P160">
        <f t="shared" ca="1" si="35"/>
        <v>0</v>
      </c>
      <c r="Q160">
        <f ca="1">IF(AND(P160&gt;0,SUM($Q$4:Q159)=0),ROW(),0)</f>
        <v>0</v>
      </c>
      <c r="R160">
        <f t="shared" ca="1" si="36"/>
        <v>0</v>
      </c>
      <c r="S160">
        <f t="shared" si="37"/>
        <v>0</v>
      </c>
      <c r="U160">
        <f t="shared" si="42"/>
        <v>0</v>
      </c>
      <c r="V160">
        <f t="shared" ca="1" si="38"/>
        <v>0</v>
      </c>
      <c r="W160">
        <f t="shared" ca="1" si="39"/>
        <v>0</v>
      </c>
      <c r="X160">
        <f t="shared" ca="1" si="31"/>
        <v>0</v>
      </c>
      <c r="Y160">
        <f ca="1">IF(AND(X160&gt;0,SUM($Y$4:Y159)=0),ROW(),0)</f>
        <v>0</v>
      </c>
      <c r="Z160">
        <f t="shared" ca="1" si="40"/>
        <v>0</v>
      </c>
      <c r="AA160">
        <f t="shared" si="41"/>
        <v>0</v>
      </c>
    </row>
    <row r="161" spans="13:27" x14ac:dyDescent="0.2">
      <c r="M161">
        <f t="shared" si="32"/>
        <v>0</v>
      </c>
      <c r="N161">
        <f t="shared" ca="1" si="34"/>
        <v>0</v>
      </c>
      <c r="O161">
        <f t="shared" ca="1" si="33"/>
        <v>0</v>
      </c>
      <c r="P161">
        <f t="shared" ca="1" si="35"/>
        <v>0</v>
      </c>
      <c r="Q161">
        <f ca="1">IF(AND(P161&gt;0,SUM($Q$4:Q160)=0),ROW(),0)</f>
        <v>0</v>
      </c>
      <c r="R161">
        <f t="shared" ca="1" si="36"/>
        <v>0</v>
      </c>
      <c r="S161">
        <f t="shared" si="37"/>
        <v>0</v>
      </c>
      <c r="U161">
        <f t="shared" si="42"/>
        <v>0</v>
      </c>
      <c r="V161">
        <f t="shared" ca="1" si="38"/>
        <v>0</v>
      </c>
      <c r="W161">
        <f t="shared" ca="1" si="39"/>
        <v>0</v>
      </c>
      <c r="X161">
        <f t="shared" ca="1" si="31"/>
        <v>0</v>
      </c>
      <c r="Y161">
        <f ca="1">IF(AND(X161&gt;0,SUM($Y$4:Y160)=0),ROW(),0)</f>
        <v>0</v>
      </c>
      <c r="Z161">
        <f t="shared" ca="1" si="40"/>
        <v>0</v>
      </c>
      <c r="AA161">
        <f t="shared" si="41"/>
        <v>0</v>
      </c>
    </row>
    <row r="162" spans="13:27" x14ac:dyDescent="0.2">
      <c r="M162">
        <f t="shared" si="32"/>
        <v>0</v>
      </c>
      <c r="N162">
        <f t="shared" ca="1" si="34"/>
        <v>0</v>
      </c>
      <c r="O162">
        <f t="shared" ca="1" si="33"/>
        <v>0</v>
      </c>
      <c r="P162">
        <f t="shared" ca="1" si="35"/>
        <v>0</v>
      </c>
      <c r="Q162">
        <f ca="1">IF(AND(P162&gt;0,SUM($Q$4:Q161)=0),ROW(),0)</f>
        <v>0</v>
      </c>
      <c r="R162">
        <f t="shared" ca="1" si="36"/>
        <v>0</v>
      </c>
      <c r="S162">
        <f t="shared" si="37"/>
        <v>0</v>
      </c>
      <c r="U162">
        <f t="shared" si="42"/>
        <v>0</v>
      </c>
      <c r="V162">
        <f t="shared" ca="1" si="38"/>
        <v>0</v>
      </c>
      <c r="W162">
        <f t="shared" ca="1" si="39"/>
        <v>0</v>
      </c>
      <c r="X162">
        <f t="shared" ca="1" si="31"/>
        <v>0</v>
      </c>
      <c r="Y162">
        <f ca="1">IF(AND(X162&gt;0,SUM($Y$4:Y161)=0),ROW(),0)</f>
        <v>0</v>
      </c>
      <c r="Z162">
        <f t="shared" ca="1" si="40"/>
        <v>0</v>
      </c>
      <c r="AA162">
        <f t="shared" si="41"/>
        <v>0</v>
      </c>
    </row>
    <row r="163" spans="13:27" x14ac:dyDescent="0.2">
      <c r="M163">
        <f t="shared" si="32"/>
        <v>0</v>
      </c>
      <c r="N163">
        <f t="shared" ca="1" si="34"/>
        <v>0</v>
      </c>
      <c r="O163">
        <f t="shared" ca="1" si="33"/>
        <v>0</v>
      </c>
      <c r="P163">
        <f t="shared" ca="1" si="35"/>
        <v>0</v>
      </c>
      <c r="Q163">
        <f ca="1">IF(AND(P163&gt;0,SUM($Q$4:Q162)=0),ROW(),0)</f>
        <v>0</v>
      </c>
      <c r="R163">
        <f t="shared" ca="1" si="36"/>
        <v>0</v>
      </c>
      <c r="S163">
        <f t="shared" si="37"/>
        <v>0</v>
      </c>
      <c r="U163">
        <f t="shared" si="42"/>
        <v>0</v>
      </c>
      <c r="V163">
        <f t="shared" ca="1" si="38"/>
        <v>0</v>
      </c>
      <c r="W163">
        <f t="shared" ca="1" si="39"/>
        <v>0</v>
      </c>
      <c r="X163">
        <f t="shared" ca="1" si="31"/>
        <v>0</v>
      </c>
      <c r="Y163">
        <f ca="1">IF(AND(X163&gt;0,SUM($Y$4:Y162)=0),ROW(),0)</f>
        <v>0</v>
      </c>
      <c r="Z163">
        <f t="shared" ca="1" si="40"/>
        <v>0</v>
      </c>
      <c r="AA163">
        <f t="shared" si="41"/>
        <v>0</v>
      </c>
    </row>
    <row r="164" spans="13:27" x14ac:dyDescent="0.2">
      <c r="M164">
        <f t="shared" si="32"/>
        <v>0</v>
      </c>
      <c r="N164">
        <f t="shared" ca="1" si="34"/>
        <v>0</v>
      </c>
      <c r="O164">
        <f t="shared" ca="1" si="33"/>
        <v>0</v>
      </c>
      <c r="P164">
        <f t="shared" ca="1" si="35"/>
        <v>0</v>
      </c>
      <c r="Q164">
        <f ca="1">IF(AND(P164&gt;0,SUM($Q$4:Q163)=0),ROW(),0)</f>
        <v>0</v>
      </c>
      <c r="R164">
        <f t="shared" ca="1" si="36"/>
        <v>0</v>
      </c>
      <c r="S164">
        <f t="shared" si="37"/>
        <v>0</v>
      </c>
      <c r="U164">
        <f t="shared" si="42"/>
        <v>0</v>
      </c>
      <c r="V164">
        <f t="shared" ca="1" si="38"/>
        <v>0</v>
      </c>
      <c r="W164">
        <f t="shared" ca="1" si="39"/>
        <v>0</v>
      </c>
      <c r="X164">
        <f t="shared" ca="1" si="31"/>
        <v>0</v>
      </c>
      <c r="Y164">
        <f ca="1">IF(AND(X164&gt;0,SUM($Y$4:Y163)=0),ROW(),0)</f>
        <v>0</v>
      </c>
      <c r="Z164">
        <f t="shared" ca="1" si="40"/>
        <v>0</v>
      </c>
      <c r="AA164">
        <f t="shared" si="41"/>
        <v>0</v>
      </c>
    </row>
    <row r="165" spans="13:27" x14ac:dyDescent="0.2">
      <c r="M165">
        <f t="shared" si="32"/>
        <v>0</v>
      </c>
      <c r="N165">
        <f t="shared" ca="1" si="34"/>
        <v>0</v>
      </c>
      <c r="O165">
        <f t="shared" ca="1" si="33"/>
        <v>0</v>
      </c>
      <c r="P165">
        <f t="shared" ca="1" si="35"/>
        <v>0</v>
      </c>
      <c r="Q165">
        <f ca="1">IF(AND(P165&gt;0,SUM($Q$4:Q164)=0),ROW(),0)</f>
        <v>0</v>
      </c>
      <c r="R165">
        <f t="shared" ca="1" si="36"/>
        <v>0</v>
      </c>
      <c r="S165">
        <f t="shared" si="37"/>
        <v>0</v>
      </c>
      <c r="U165">
        <f t="shared" si="42"/>
        <v>0</v>
      </c>
      <c r="V165">
        <f t="shared" ca="1" si="38"/>
        <v>0</v>
      </c>
      <c r="W165">
        <f t="shared" ca="1" si="39"/>
        <v>0</v>
      </c>
      <c r="X165">
        <f t="shared" ca="1" si="31"/>
        <v>0</v>
      </c>
      <c r="Y165">
        <f ca="1">IF(AND(X165&gt;0,SUM($Y$4:Y164)=0),ROW(),0)</f>
        <v>0</v>
      </c>
      <c r="Z165">
        <f t="shared" ca="1" si="40"/>
        <v>0</v>
      </c>
      <c r="AA165">
        <f t="shared" si="41"/>
        <v>0</v>
      </c>
    </row>
    <row r="166" spans="13:27" x14ac:dyDescent="0.2">
      <c r="M166">
        <f t="shared" si="32"/>
        <v>0</v>
      </c>
      <c r="N166">
        <f t="shared" ca="1" si="34"/>
        <v>0</v>
      </c>
      <c r="O166">
        <f t="shared" ca="1" si="33"/>
        <v>0</v>
      </c>
      <c r="P166">
        <f t="shared" ca="1" si="35"/>
        <v>0</v>
      </c>
      <c r="Q166">
        <f ca="1">IF(AND(P166&gt;0,SUM($Q$4:Q165)=0),ROW(),0)</f>
        <v>0</v>
      </c>
      <c r="R166">
        <f t="shared" ca="1" si="36"/>
        <v>0</v>
      </c>
      <c r="S166">
        <f t="shared" si="37"/>
        <v>0</v>
      </c>
      <c r="U166">
        <f t="shared" si="42"/>
        <v>0</v>
      </c>
      <c r="V166">
        <f t="shared" ca="1" si="38"/>
        <v>0</v>
      </c>
      <c r="W166">
        <f t="shared" ca="1" si="39"/>
        <v>0</v>
      </c>
      <c r="X166">
        <f t="shared" ca="1" si="31"/>
        <v>0</v>
      </c>
      <c r="Y166">
        <f ca="1">IF(AND(X166&gt;0,SUM($Y$4:Y165)=0),ROW(),0)</f>
        <v>0</v>
      </c>
      <c r="Z166">
        <f t="shared" ca="1" si="40"/>
        <v>0</v>
      </c>
      <c r="AA166">
        <f t="shared" si="41"/>
        <v>0</v>
      </c>
    </row>
    <row r="167" spans="13:27" x14ac:dyDescent="0.2">
      <c r="M167">
        <f t="shared" si="32"/>
        <v>0</v>
      </c>
      <c r="N167">
        <f t="shared" ca="1" si="34"/>
        <v>0</v>
      </c>
      <c r="O167">
        <f t="shared" ca="1" si="33"/>
        <v>0</v>
      </c>
      <c r="P167">
        <f t="shared" ca="1" si="35"/>
        <v>0</v>
      </c>
      <c r="Q167">
        <f ca="1">IF(AND(P167&gt;0,SUM($Q$4:Q166)=0),ROW(),0)</f>
        <v>0</v>
      </c>
      <c r="R167">
        <f t="shared" ca="1" si="36"/>
        <v>0</v>
      </c>
      <c r="S167">
        <f t="shared" si="37"/>
        <v>0</v>
      </c>
      <c r="U167">
        <f t="shared" si="42"/>
        <v>0</v>
      </c>
      <c r="V167">
        <f t="shared" ca="1" si="38"/>
        <v>0</v>
      </c>
      <c r="W167">
        <f t="shared" ca="1" si="39"/>
        <v>0</v>
      </c>
      <c r="X167">
        <f t="shared" ca="1" si="31"/>
        <v>0</v>
      </c>
      <c r="Y167">
        <f ca="1">IF(AND(X167&gt;0,SUM($Y$4:Y166)=0),ROW(),0)</f>
        <v>0</v>
      </c>
      <c r="Z167">
        <f t="shared" ca="1" si="40"/>
        <v>0</v>
      </c>
      <c r="AA167">
        <f t="shared" si="41"/>
        <v>0</v>
      </c>
    </row>
    <row r="168" spans="13:27" x14ac:dyDescent="0.2">
      <c r="M168">
        <f t="shared" si="32"/>
        <v>0</v>
      </c>
      <c r="N168">
        <f t="shared" ca="1" si="34"/>
        <v>0</v>
      </c>
      <c r="O168">
        <f t="shared" ca="1" si="33"/>
        <v>0</v>
      </c>
      <c r="P168">
        <f t="shared" ca="1" si="35"/>
        <v>0</v>
      </c>
      <c r="Q168">
        <f ca="1">IF(AND(P168&gt;0,SUM($Q$4:Q167)=0),ROW(),0)</f>
        <v>0</v>
      </c>
      <c r="R168">
        <f t="shared" ca="1" si="36"/>
        <v>0</v>
      </c>
      <c r="S168">
        <f t="shared" si="37"/>
        <v>0</v>
      </c>
      <c r="U168">
        <f t="shared" si="42"/>
        <v>0</v>
      </c>
      <c r="V168">
        <f t="shared" ca="1" si="38"/>
        <v>0</v>
      </c>
      <c r="W168">
        <f t="shared" ca="1" si="39"/>
        <v>0</v>
      </c>
      <c r="X168">
        <f t="shared" ca="1" si="31"/>
        <v>0</v>
      </c>
      <c r="Y168">
        <f ca="1">IF(AND(X168&gt;0,SUM($Y$4:Y167)=0),ROW(),0)</f>
        <v>0</v>
      </c>
      <c r="Z168">
        <f t="shared" ca="1" si="40"/>
        <v>0</v>
      </c>
      <c r="AA168">
        <f t="shared" si="41"/>
        <v>0</v>
      </c>
    </row>
    <row r="169" spans="13:27" x14ac:dyDescent="0.2">
      <c r="M169">
        <f t="shared" si="32"/>
        <v>0</v>
      </c>
      <c r="N169">
        <f t="shared" ca="1" si="34"/>
        <v>0</v>
      </c>
      <c r="O169">
        <f t="shared" ca="1" si="33"/>
        <v>0</v>
      </c>
      <c r="P169">
        <f t="shared" ca="1" si="35"/>
        <v>0</v>
      </c>
      <c r="Q169">
        <f ca="1">IF(AND(P169&gt;0,SUM($Q$4:Q168)=0),ROW(),0)</f>
        <v>0</v>
      </c>
      <c r="R169">
        <f t="shared" ca="1" si="36"/>
        <v>0</v>
      </c>
      <c r="S169">
        <f t="shared" si="37"/>
        <v>0</v>
      </c>
      <c r="U169">
        <f t="shared" si="42"/>
        <v>0</v>
      </c>
      <c r="V169">
        <f t="shared" ca="1" si="38"/>
        <v>0</v>
      </c>
      <c r="W169">
        <f t="shared" ca="1" si="39"/>
        <v>0</v>
      </c>
      <c r="X169">
        <f t="shared" ca="1" si="31"/>
        <v>0</v>
      </c>
      <c r="Y169">
        <f ca="1">IF(AND(X169&gt;0,SUM($Y$4:Y168)=0),ROW(),0)</f>
        <v>0</v>
      </c>
      <c r="Z169">
        <f t="shared" ca="1" si="40"/>
        <v>0</v>
      </c>
      <c r="AA169">
        <f t="shared" si="41"/>
        <v>0</v>
      </c>
    </row>
    <row r="170" spans="13:27" x14ac:dyDescent="0.2">
      <c r="M170">
        <f t="shared" si="32"/>
        <v>0</v>
      </c>
      <c r="N170">
        <f t="shared" ca="1" si="34"/>
        <v>0</v>
      </c>
      <c r="O170">
        <f t="shared" ca="1" si="33"/>
        <v>0</v>
      </c>
      <c r="P170">
        <f t="shared" ca="1" si="35"/>
        <v>0</v>
      </c>
      <c r="Q170">
        <f ca="1">IF(AND(P170&gt;0,SUM($Q$4:Q169)=0),ROW(),0)</f>
        <v>0</v>
      </c>
      <c r="R170">
        <f t="shared" ca="1" si="36"/>
        <v>0</v>
      </c>
      <c r="S170">
        <f t="shared" si="37"/>
        <v>0</v>
      </c>
      <c r="U170">
        <f t="shared" si="42"/>
        <v>0</v>
      </c>
      <c r="V170">
        <f t="shared" ca="1" si="38"/>
        <v>0</v>
      </c>
      <c r="W170">
        <f t="shared" ca="1" si="39"/>
        <v>0</v>
      </c>
      <c r="X170">
        <f t="shared" ca="1" si="31"/>
        <v>0</v>
      </c>
      <c r="Y170">
        <f ca="1">IF(AND(X170&gt;0,SUM($Y$4:Y169)=0),ROW(),0)</f>
        <v>0</v>
      </c>
      <c r="Z170">
        <f t="shared" ca="1" si="40"/>
        <v>0</v>
      </c>
      <c r="AA170">
        <f t="shared" si="41"/>
        <v>0</v>
      </c>
    </row>
    <row r="171" spans="13:27" x14ac:dyDescent="0.2">
      <c r="M171">
        <f t="shared" si="32"/>
        <v>0</v>
      </c>
      <c r="N171">
        <f t="shared" ca="1" si="34"/>
        <v>0</v>
      </c>
      <c r="O171">
        <f t="shared" ca="1" si="33"/>
        <v>0</v>
      </c>
      <c r="P171">
        <f t="shared" ca="1" si="35"/>
        <v>0</v>
      </c>
      <c r="Q171">
        <f ca="1">IF(AND(P171&gt;0,SUM($Q$4:Q170)=0),ROW(),0)</f>
        <v>0</v>
      </c>
      <c r="R171">
        <f t="shared" ca="1" si="36"/>
        <v>0</v>
      </c>
      <c r="S171">
        <f t="shared" si="37"/>
        <v>0</v>
      </c>
      <c r="U171">
        <f t="shared" si="42"/>
        <v>0</v>
      </c>
      <c r="V171">
        <f t="shared" ca="1" si="38"/>
        <v>0</v>
      </c>
      <c r="W171">
        <f t="shared" ca="1" si="39"/>
        <v>0</v>
      </c>
      <c r="X171">
        <f t="shared" ca="1" si="31"/>
        <v>0</v>
      </c>
      <c r="Y171">
        <f ca="1">IF(AND(X171&gt;0,SUM($Y$4:Y170)=0),ROW(),0)</f>
        <v>0</v>
      </c>
      <c r="Z171">
        <f t="shared" ca="1" si="40"/>
        <v>0</v>
      </c>
      <c r="AA171">
        <f t="shared" si="41"/>
        <v>0</v>
      </c>
    </row>
    <row r="172" spans="13:27" x14ac:dyDescent="0.2">
      <c r="M172">
        <f t="shared" si="32"/>
        <v>0</v>
      </c>
      <c r="N172">
        <f t="shared" ca="1" si="34"/>
        <v>0</v>
      </c>
      <c r="O172">
        <f t="shared" ca="1" si="33"/>
        <v>0</v>
      </c>
      <c r="P172">
        <f t="shared" ca="1" si="35"/>
        <v>0</v>
      </c>
      <c r="Q172">
        <f ca="1">IF(AND(P172&gt;0,SUM($Q$4:Q171)=0),ROW(),0)</f>
        <v>0</v>
      </c>
      <c r="R172">
        <f t="shared" ca="1" si="36"/>
        <v>0</v>
      </c>
      <c r="S172">
        <f t="shared" si="37"/>
        <v>0</v>
      </c>
      <c r="U172">
        <f t="shared" si="42"/>
        <v>0</v>
      </c>
      <c r="V172">
        <f t="shared" ca="1" si="38"/>
        <v>0</v>
      </c>
      <c r="W172">
        <f t="shared" ca="1" si="39"/>
        <v>0</v>
      </c>
      <c r="X172">
        <f t="shared" ca="1" si="31"/>
        <v>0</v>
      </c>
      <c r="Y172">
        <f ca="1">IF(AND(X172&gt;0,SUM($Y$4:Y171)=0),ROW(),0)</f>
        <v>0</v>
      </c>
      <c r="Z172">
        <f t="shared" ca="1" si="40"/>
        <v>0</v>
      </c>
      <c r="AA172">
        <f t="shared" si="41"/>
        <v>0</v>
      </c>
    </row>
    <row r="173" spans="13:27" x14ac:dyDescent="0.2">
      <c r="M173">
        <f t="shared" si="32"/>
        <v>0</v>
      </c>
      <c r="N173">
        <f t="shared" ca="1" si="34"/>
        <v>0</v>
      </c>
      <c r="O173">
        <f t="shared" ca="1" si="33"/>
        <v>0</v>
      </c>
      <c r="P173">
        <f t="shared" ca="1" si="35"/>
        <v>0</v>
      </c>
      <c r="Q173">
        <f ca="1">IF(AND(P173&gt;0,SUM($Q$4:Q172)=0),ROW(),0)</f>
        <v>0</v>
      </c>
      <c r="R173">
        <f t="shared" ca="1" si="36"/>
        <v>0</v>
      </c>
      <c r="S173">
        <f t="shared" si="37"/>
        <v>0</v>
      </c>
      <c r="U173">
        <f t="shared" si="42"/>
        <v>0</v>
      </c>
      <c r="V173">
        <f t="shared" ca="1" si="38"/>
        <v>0</v>
      </c>
      <c r="W173">
        <f t="shared" ca="1" si="39"/>
        <v>0</v>
      </c>
      <c r="X173">
        <f t="shared" ca="1" si="31"/>
        <v>0</v>
      </c>
      <c r="Y173">
        <f ca="1">IF(AND(X173&gt;0,SUM($Y$4:Y172)=0),ROW(),0)</f>
        <v>0</v>
      </c>
      <c r="Z173">
        <f t="shared" ca="1" si="40"/>
        <v>0</v>
      </c>
      <c r="AA173">
        <f t="shared" si="41"/>
        <v>0</v>
      </c>
    </row>
    <row r="174" spans="13:27" x14ac:dyDescent="0.2">
      <c r="M174">
        <f t="shared" si="32"/>
        <v>0</v>
      </c>
      <c r="N174">
        <f t="shared" ca="1" si="34"/>
        <v>0</v>
      </c>
      <c r="O174">
        <f t="shared" ca="1" si="33"/>
        <v>0</v>
      </c>
      <c r="P174">
        <f t="shared" ca="1" si="35"/>
        <v>0</v>
      </c>
      <c r="Q174">
        <f ca="1">IF(AND(P174&gt;0,SUM($Q$4:Q173)=0),ROW(),0)</f>
        <v>0</v>
      </c>
      <c r="R174">
        <f t="shared" ca="1" si="36"/>
        <v>0</v>
      </c>
      <c r="S174">
        <f t="shared" si="37"/>
        <v>0</v>
      </c>
      <c r="U174">
        <f t="shared" si="42"/>
        <v>0</v>
      </c>
      <c r="V174">
        <f t="shared" ca="1" si="38"/>
        <v>0</v>
      </c>
      <c r="W174">
        <f t="shared" ca="1" si="39"/>
        <v>0</v>
      </c>
      <c r="X174">
        <f t="shared" ca="1" si="31"/>
        <v>0</v>
      </c>
      <c r="Y174">
        <f ca="1">IF(AND(X174&gt;0,SUM($Y$4:Y173)=0),ROW(),0)</f>
        <v>0</v>
      </c>
      <c r="Z174">
        <f t="shared" ca="1" si="40"/>
        <v>0</v>
      </c>
      <c r="AA174">
        <f t="shared" si="41"/>
        <v>0</v>
      </c>
    </row>
    <row r="175" spans="13:27" x14ac:dyDescent="0.2">
      <c r="M175">
        <f t="shared" si="32"/>
        <v>0</v>
      </c>
      <c r="N175">
        <f t="shared" ca="1" si="34"/>
        <v>0</v>
      </c>
      <c r="O175">
        <f t="shared" ca="1" si="33"/>
        <v>0</v>
      </c>
      <c r="P175">
        <f t="shared" ca="1" si="35"/>
        <v>0</v>
      </c>
      <c r="Q175">
        <f ca="1">IF(AND(P175&gt;0,SUM($Q$4:Q174)=0),ROW(),0)</f>
        <v>0</v>
      </c>
      <c r="R175">
        <f t="shared" ca="1" si="36"/>
        <v>0</v>
      </c>
      <c r="S175">
        <f t="shared" si="37"/>
        <v>0</v>
      </c>
      <c r="U175">
        <f t="shared" si="42"/>
        <v>0</v>
      </c>
      <c r="V175">
        <f t="shared" ca="1" si="38"/>
        <v>0</v>
      </c>
      <c r="W175">
        <f t="shared" ca="1" si="39"/>
        <v>0</v>
      </c>
      <c r="X175">
        <f t="shared" ca="1" si="31"/>
        <v>0</v>
      </c>
      <c r="Y175">
        <f ca="1">IF(AND(X175&gt;0,SUM($Y$4:Y174)=0),ROW(),0)</f>
        <v>0</v>
      </c>
      <c r="Z175">
        <f t="shared" ca="1" si="40"/>
        <v>0</v>
      </c>
      <c r="AA175">
        <f t="shared" si="41"/>
        <v>0</v>
      </c>
    </row>
    <row r="176" spans="13:27" x14ac:dyDescent="0.2">
      <c r="M176">
        <f t="shared" si="32"/>
        <v>0</v>
      </c>
      <c r="N176">
        <f t="shared" ca="1" si="34"/>
        <v>0</v>
      </c>
      <c r="O176">
        <f t="shared" ca="1" si="33"/>
        <v>0</v>
      </c>
      <c r="P176">
        <f t="shared" ca="1" si="35"/>
        <v>0</v>
      </c>
      <c r="Q176">
        <f ca="1">IF(AND(P176&gt;0,SUM($Q$4:Q175)=0),ROW(),0)</f>
        <v>0</v>
      </c>
      <c r="R176">
        <f t="shared" ca="1" si="36"/>
        <v>0</v>
      </c>
      <c r="S176">
        <f t="shared" si="37"/>
        <v>0</v>
      </c>
      <c r="U176">
        <f t="shared" si="42"/>
        <v>0</v>
      </c>
      <c r="V176">
        <f t="shared" ca="1" si="38"/>
        <v>0</v>
      </c>
      <c r="W176">
        <f t="shared" ca="1" si="39"/>
        <v>0</v>
      </c>
      <c r="X176">
        <f t="shared" ca="1" si="31"/>
        <v>0</v>
      </c>
      <c r="Y176">
        <f ca="1">IF(AND(X176&gt;0,SUM($Y$4:Y175)=0),ROW(),0)</f>
        <v>0</v>
      </c>
      <c r="Z176">
        <f t="shared" ca="1" si="40"/>
        <v>0</v>
      </c>
      <c r="AA176">
        <f t="shared" si="41"/>
        <v>0</v>
      </c>
    </row>
    <row r="177" spans="13:27" x14ac:dyDescent="0.2">
      <c r="M177">
        <f t="shared" si="32"/>
        <v>0</v>
      </c>
      <c r="N177">
        <f t="shared" ca="1" si="34"/>
        <v>0</v>
      </c>
      <c r="O177">
        <f t="shared" ca="1" si="33"/>
        <v>0</v>
      </c>
      <c r="P177">
        <f t="shared" ca="1" si="35"/>
        <v>0</v>
      </c>
      <c r="Q177">
        <f ca="1">IF(AND(P177&gt;0,SUM($Q$4:Q176)=0),ROW(),0)</f>
        <v>0</v>
      </c>
      <c r="R177">
        <f t="shared" ca="1" si="36"/>
        <v>0</v>
      </c>
      <c r="S177">
        <f t="shared" si="37"/>
        <v>0</v>
      </c>
      <c r="U177">
        <f t="shared" si="42"/>
        <v>0</v>
      </c>
      <c r="V177">
        <f t="shared" ca="1" si="38"/>
        <v>0</v>
      </c>
      <c r="W177">
        <f t="shared" ca="1" si="39"/>
        <v>0</v>
      </c>
      <c r="X177">
        <f t="shared" ca="1" si="31"/>
        <v>0</v>
      </c>
      <c r="Y177">
        <f ca="1">IF(AND(X177&gt;0,SUM($Y$4:Y176)=0),ROW(),0)</f>
        <v>0</v>
      </c>
      <c r="Z177">
        <f t="shared" ca="1" si="40"/>
        <v>0</v>
      </c>
      <c r="AA177">
        <f t="shared" si="41"/>
        <v>0</v>
      </c>
    </row>
    <row r="178" spans="13:27" x14ac:dyDescent="0.2">
      <c r="M178">
        <f t="shared" si="32"/>
        <v>0</v>
      </c>
      <c r="N178">
        <f t="shared" ca="1" si="34"/>
        <v>0</v>
      </c>
      <c r="O178">
        <f t="shared" ca="1" si="33"/>
        <v>0</v>
      </c>
      <c r="P178">
        <f t="shared" ca="1" si="35"/>
        <v>0</v>
      </c>
      <c r="Q178">
        <f ca="1">IF(AND(P178&gt;0,SUM($Q$4:Q177)=0),ROW(),0)</f>
        <v>0</v>
      </c>
      <c r="R178">
        <f t="shared" ca="1" si="36"/>
        <v>0</v>
      </c>
      <c r="S178">
        <f t="shared" si="37"/>
        <v>0</v>
      </c>
      <c r="U178">
        <f t="shared" si="42"/>
        <v>0</v>
      </c>
      <c r="V178">
        <f t="shared" ca="1" si="38"/>
        <v>0</v>
      </c>
      <c r="W178">
        <f t="shared" ca="1" si="39"/>
        <v>0</v>
      </c>
      <c r="X178">
        <f t="shared" ca="1" si="31"/>
        <v>0</v>
      </c>
      <c r="Y178">
        <f ca="1">IF(AND(X178&gt;0,SUM($Y$4:Y177)=0),ROW(),0)</f>
        <v>0</v>
      </c>
      <c r="Z178">
        <f t="shared" ca="1" si="40"/>
        <v>0</v>
      </c>
      <c r="AA178">
        <f t="shared" si="41"/>
        <v>0</v>
      </c>
    </row>
    <row r="179" spans="13:27" x14ac:dyDescent="0.2">
      <c r="M179">
        <f t="shared" si="32"/>
        <v>0</v>
      </c>
      <c r="N179">
        <f t="shared" ca="1" si="34"/>
        <v>0</v>
      </c>
      <c r="O179">
        <f t="shared" ca="1" si="33"/>
        <v>0</v>
      </c>
      <c r="P179">
        <f t="shared" ca="1" si="35"/>
        <v>0</v>
      </c>
      <c r="Q179">
        <f ca="1">IF(AND(P179&gt;0,SUM($Q$4:Q178)=0),ROW(),0)</f>
        <v>0</v>
      </c>
      <c r="R179">
        <f t="shared" ca="1" si="36"/>
        <v>0</v>
      </c>
      <c r="S179">
        <f t="shared" si="37"/>
        <v>0</v>
      </c>
      <c r="U179">
        <f t="shared" si="42"/>
        <v>0</v>
      </c>
      <c r="V179">
        <f t="shared" ca="1" si="38"/>
        <v>0</v>
      </c>
      <c r="W179">
        <f t="shared" ca="1" si="39"/>
        <v>0</v>
      </c>
      <c r="X179">
        <f t="shared" ca="1" si="31"/>
        <v>0</v>
      </c>
      <c r="Y179">
        <f ca="1">IF(AND(X179&gt;0,SUM($Y$4:Y178)=0),ROW(),0)</f>
        <v>0</v>
      </c>
      <c r="Z179">
        <f t="shared" ca="1" si="40"/>
        <v>0</v>
      </c>
      <c r="AA179">
        <f t="shared" si="41"/>
        <v>0</v>
      </c>
    </row>
    <row r="180" spans="13:27" x14ac:dyDescent="0.2">
      <c r="M180">
        <f t="shared" si="32"/>
        <v>0</v>
      </c>
      <c r="N180">
        <f t="shared" ca="1" si="34"/>
        <v>0</v>
      </c>
      <c r="O180">
        <f t="shared" ca="1" si="33"/>
        <v>0</v>
      </c>
      <c r="P180">
        <f t="shared" ca="1" si="35"/>
        <v>0</v>
      </c>
      <c r="Q180">
        <f ca="1">IF(AND(P180&gt;0,SUM($Q$4:Q179)=0),ROW(),0)</f>
        <v>0</v>
      </c>
      <c r="R180">
        <f t="shared" ca="1" si="36"/>
        <v>0</v>
      </c>
      <c r="S180">
        <f t="shared" si="37"/>
        <v>0</v>
      </c>
      <c r="U180">
        <f t="shared" si="42"/>
        <v>0</v>
      </c>
      <c r="V180">
        <f t="shared" ca="1" si="38"/>
        <v>0</v>
      </c>
      <c r="W180">
        <f t="shared" ca="1" si="39"/>
        <v>0</v>
      </c>
      <c r="X180">
        <f t="shared" ca="1" si="31"/>
        <v>0</v>
      </c>
      <c r="Y180">
        <f ca="1">IF(AND(X180&gt;0,SUM($Y$4:Y179)=0),ROW(),0)</f>
        <v>0</v>
      </c>
      <c r="Z180">
        <f t="shared" ca="1" si="40"/>
        <v>0</v>
      </c>
      <c r="AA180">
        <f t="shared" si="41"/>
        <v>0</v>
      </c>
    </row>
    <row r="181" spans="13:27" x14ac:dyDescent="0.2">
      <c r="M181">
        <f t="shared" si="32"/>
        <v>0</v>
      </c>
      <c r="N181">
        <f t="shared" ca="1" si="34"/>
        <v>0</v>
      </c>
      <c r="O181">
        <f t="shared" ca="1" si="33"/>
        <v>0</v>
      </c>
      <c r="P181">
        <f t="shared" ca="1" si="35"/>
        <v>0</v>
      </c>
      <c r="Q181">
        <f ca="1">IF(AND(P181&gt;0,SUM($Q$4:Q180)=0),ROW(),0)</f>
        <v>0</v>
      </c>
      <c r="R181">
        <f t="shared" ca="1" si="36"/>
        <v>0</v>
      </c>
      <c r="S181">
        <f t="shared" si="37"/>
        <v>0</v>
      </c>
      <c r="U181">
        <f t="shared" si="42"/>
        <v>0</v>
      </c>
      <c r="V181">
        <f t="shared" ca="1" si="38"/>
        <v>0</v>
      </c>
      <c r="W181">
        <f t="shared" ca="1" si="39"/>
        <v>0</v>
      </c>
      <c r="X181">
        <f t="shared" ref="X181:X200" ca="1" si="43">IF(AND(U181&gt;=$K$35-0.5, U181&lt;=$K$35+0.5),IF(AND(U181&lt;=$K$35,U181&gt;0),V181,W181),0)</f>
        <v>0</v>
      </c>
      <c r="Y181">
        <f ca="1">IF(AND(X181&gt;0,SUM($Y$4:Y180)=0),ROW(),0)</f>
        <v>0</v>
      </c>
      <c r="Z181">
        <f t="shared" ca="1" si="40"/>
        <v>0</v>
      </c>
      <c r="AA181">
        <f t="shared" si="41"/>
        <v>0</v>
      </c>
    </row>
    <row r="182" spans="13:27" x14ac:dyDescent="0.2">
      <c r="M182">
        <f t="shared" si="32"/>
        <v>0</v>
      </c>
      <c r="N182">
        <f t="shared" ca="1" si="34"/>
        <v>0</v>
      </c>
      <c r="O182">
        <f t="shared" ca="1" si="33"/>
        <v>0</v>
      </c>
      <c r="P182">
        <f t="shared" ca="1" si="35"/>
        <v>0</v>
      </c>
      <c r="Q182">
        <f ca="1">IF(AND(P182&gt;0,SUM($Q$4:Q181)=0),ROW(),0)</f>
        <v>0</v>
      </c>
      <c r="R182">
        <f t="shared" ca="1" si="36"/>
        <v>0</v>
      </c>
      <c r="S182">
        <f t="shared" si="37"/>
        <v>0</v>
      </c>
      <c r="U182">
        <f t="shared" si="42"/>
        <v>0</v>
      </c>
      <c r="V182">
        <f t="shared" ca="1" si="38"/>
        <v>0</v>
      </c>
      <c r="W182">
        <f t="shared" ca="1" si="39"/>
        <v>0</v>
      </c>
      <c r="X182">
        <f t="shared" ca="1" si="43"/>
        <v>0</v>
      </c>
      <c r="Y182">
        <f ca="1">IF(AND(X182&gt;0,SUM($Y$4:Y181)=0),ROW(),0)</f>
        <v>0</v>
      </c>
      <c r="Z182">
        <f t="shared" ca="1" si="40"/>
        <v>0</v>
      </c>
      <c r="AA182">
        <f t="shared" si="41"/>
        <v>0</v>
      </c>
    </row>
    <row r="183" spans="13:27" x14ac:dyDescent="0.2">
      <c r="M183">
        <f t="shared" si="32"/>
        <v>0</v>
      </c>
      <c r="N183">
        <f t="shared" ca="1" si="34"/>
        <v>0</v>
      </c>
      <c r="O183">
        <f t="shared" ca="1" si="33"/>
        <v>0</v>
      </c>
      <c r="P183">
        <f t="shared" ca="1" si="35"/>
        <v>0</v>
      </c>
      <c r="Q183">
        <f ca="1">IF(AND(P183&gt;0,SUM($Q$4:Q182)=0),ROW(),0)</f>
        <v>0</v>
      </c>
      <c r="R183">
        <f t="shared" ca="1" si="36"/>
        <v>0</v>
      </c>
      <c r="S183">
        <f t="shared" si="37"/>
        <v>0</v>
      </c>
      <c r="U183">
        <f t="shared" si="42"/>
        <v>0</v>
      </c>
      <c r="V183">
        <f t="shared" ca="1" si="38"/>
        <v>0</v>
      </c>
      <c r="W183">
        <f t="shared" ca="1" si="39"/>
        <v>0</v>
      </c>
      <c r="X183">
        <f t="shared" ca="1" si="43"/>
        <v>0</v>
      </c>
      <c r="Y183">
        <f ca="1">IF(AND(X183&gt;0,SUM($Y$4:Y182)=0),ROW(),0)</f>
        <v>0</v>
      </c>
      <c r="Z183">
        <f t="shared" ca="1" si="40"/>
        <v>0</v>
      </c>
      <c r="AA183">
        <f t="shared" si="41"/>
        <v>0</v>
      </c>
    </row>
    <row r="184" spans="13:27" x14ac:dyDescent="0.2">
      <c r="M184">
        <f t="shared" si="32"/>
        <v>0</v>
      </c>
      <c r="N184">
        <f t="shared" ca="1" si="34"/>
        <v>0</v>
      </c>
      <c r="O184">
        <f t="shared" ca="1" si="33"/>
        <v>0</v>
      </c>
      <c r="P184">
        <f t="shared" ca="1" si="35"/>
        <v>0</v>
      </c>
      <c r="Q184">
        <f ca="1">IF(AND(P184&gt;0,SUM($Q$4:Q183)=0),ROW(),0)</f>
        <v>0</v>
      </c>
      <c r="R184">
        <f t="shared" ca="1" si="36"/>
        <v>0</v>
      </c>
      <c r="S184">
        <f t="shared" si="37"/>
        <v>0</v>
      </c>
      <c r="U184">
        <f t="shared" si="42"/>
        <v>0</v>
      </c>
      <c r="V184">
        <f t="shared" ca="1" si="38"/>
        <v>0</v>
      </c>
      <c r="W184">
        <f t="shared" ca="1" si="39"/>
        <v>0</v>
      </c>
      <c r="X184">
        <f t="shared" ca="1" si="43"/>
        <v>0</v>
      </c>
      <c r="Y184">
        <f ca="1">IF(AND(X184&gt;0,SUM($Y$4:Y183)=0),ROW(),0)</f>
        <v>0</v>
      </c>
      <c r="Z184">
        <f t="shared" ca="1" si="40"/>
        <v>0</v>
      </c>
      <c r="AA184">
        <f t="shared" si="41"/>
        <v>0</v>
      </c>
    </row>
    <row r="185" spans="13:27" x14ac:dyDescent="0.2">
      <c r="M185">
        <f t="shared" si="32"/>
        <v>0</v>
      </c>
      <c r="N185">
        <f t="shared" ca="1" si="34"/>
        <v>0</v>
      </c>
      <c r="O185">
        <f t="shared" ca="1" si="33"/>
        <v>0</v>
      </c>
      <c r="P185">
        <f t="shared" ca="1" si="35"/>
        <v>0</v>
      </c>
      <c r="Q185">
        <f ca="1">IF(AND(P185&gt;0,SUM($Q$4:Q184)=0),ROW(),0)</f>
        <v>0</v>
      </c>
      <c r="R185">
        <f t="shared" ca="1" si="36"/>
        <v>0</v>
      </c>
      <c r="S185">
        <f t="shared" si="37"/>
        <v>0</v>
      </c>
      <c r="U185">
        <f t="shared" si="42"/>
        <v>0</v>
      </c>
      <c r="V185">
        <f t="shared" ca="1" si="38"/>
        <v>0</v>
      </c>
      <c r="W185">
        <f t="shared" ca="1" si="39"/>
        <v>0</v>
      </c>
      <c r="X185">
        <f t="shared" ca="1" si="43"/>
        <v>0</v>
      </c>
      <c r="Y185">
        <f ca="1">IF(AND(X185&gt;0,SUM($Y$4:Y184)=0),ROW(),0)</f>
        <v>0</v>
      </c>
      <c r="Z185">
        <f t="shared" ca="1" si="40"/>
        <v>0</v>
      </c>
      <c r="AA185">
        <f t="shared" si="41"/>
        <v>0</v>
      </c>
    </row>
    <row r="186" spans="13:27" x14ac:dyDescent="0.2">
      <c r="M186">
        <f t="shared" si="32"/>
        <v>0</v>
      </c>
      <c r="N186">
        <f t="shared" ca="1" si="34"/>
        <v>0</v>
      </c>
      <c r="O186">
        <f t="shared" ca="1" si="33"/>
        <v>0</v>
      </c>
      <c r="P186">
        <f t="shared" ca="1" si="35"/>
        <v>0</v>
      </c>
      <c r="Q186">
        <f ca="1">IF(AND(P186&gt;0,SUM($Q$4:Q185)=0),ROW(),0)</f>
        <v>0</v>
      </c>
      <c r="R186">
        <f t="shared" ca="1" si="36"/>
        <v>0</v>
      </c>
      <c r="S186">
        <f t="shared" si="37"/>
        <v>0</v>
      </c>
      <c r="U186">
        <f t="shared" si="42"/>
        <v>0</v>
      </c>
      <c r="V186">
        <f t="shared" ca="1" si="38"/>
        <v>0</v>
      </c>
      <c r="W186">
        <f t="shared" ca="1" si="39"/>
        <v>0</v>
      </c>
      <c r="X186">
        <f t="shared" ca="1" si="43"/>
        <v>0</v>
      </c>
      <c r="Y186">
        <f ca="1">IF(AND(X186&gt;0,SUM($Y$4:Y185)=0),ROW(),0)</f>
        <v>0</v>
      </c>
      <c r="Z186">
        <f t="shared" ca="1" si="40"/>
        <v>0</v>
      </c>
      <c r="AA186">
        <f t="shared" si="41"/>
        <v>0</v>
      </c>
    </row>
    <row r="187" spans="13:27" x14ac:dyDescent="0.2">
      <c r="M187">
        <f t="shared" si="32"/>
        <v>0</v>
      </c>
      <c r="N187">
        <f t="shared" ca="1" si="34"/>
        <v>0</v>
      </c>
      <c r="O187">
        <f t="shared" ca="1" si="33"/>
        <v>0</v>
      </c>
      <c r="P187">
        <f t="shared" ca="1" si="35"/>
        <v>0</v>
      </c>
      <c r="Q187">
        <f ca="1">IF(AND(P187&gt;0,SUM($Q$4:Q186)=0),ROW(),0)</f>
        <v>0</v>
      </c>
      <c r="R187">
        <f t="shared" ca="1" si="36"/>
        <v>0</v>
      </c>
      <c r="S187">
        <f t="shared" si="37"/>
        <v>0</v>
      </c>
      <c r="U187">
        <f t="shared" si="42"/>
        <v>0</v>
      </c>
      <c r="V187">
        <f t="shared" ca="1" si="38"/>
        <v>0</v>
      </c>
      <c r="W187">
        <f t="shared" ca="1" si="39"/>
        <v>0</v>
      </c>
      <c r="X187">
        <f t="shared" ca="1" si="43"/>
        <v>0</v>
      </c>
      <c r="Y187">
        <f ca="1">IF(AND(X187&gt;0,SUM($Y$4:Y186)=0),ROW(),0)</f>
        <v>0</v>
      </c>
      <c r="Z187">
        <f t="shared" ca="1" si="40"/>
        <v>0</v>
      </c>
      <c r="AA187">
        <f t="shared" si="41"/>
        <v>0</v>
      </c>
    </row>
    <row r="188" spans="13:27" x14ac:dyDescent="0.2">
      <c r="M188">
        <f t="shared" si="32"/>
        <v>0</v>
      </c>
      <c r="N188">
        <f t="shared" ca="1" si="34"/>
        <v>0</v>
      </c>
      <c r="O188">
        <f t="shared" ca="1" si="33"/>
        <v>0</v>
      </c>
      <c r="P188">
        <f t="shared" ca="1" si="35"/>
        <v>0</v>
      </c>
      <c r="Q188">
        <f ca="1">IF(AND(P188&gt;0,SUM($Q$4:Q187)=0),ROW(),0)</f>
        <v>0</v>
      </c>
      <c r="R188">
        <f t="shared" ca="1" si="36"/>
        <v>0</v>
      </c>
      <c r="S188">
        <f t="shared" si="37"/>
        <v>0</v>
      </c>
      <c r="U188">
        <f t="shared" si="42"/>
        <v>0</v>
      </c>
      <c r="V188">
        <f t="shared" ca="1" si="38"/>
        <v>0</v>
      </c>
      <c r="W188">
        <f t="shared" ca="1" si="39"/>
        <v>0</v>
      </c>
      <c r="X188">
        <f t="shared" ca="1" si="43"/>
        <v>0</v>
      </c>
      <c r="Y188">
        <f ca="1">IF(AND(X188&gt;0,SUM($Y$4:Y187)=0),ROW(),0)</f>
        <v>0</v>
      </c>
      <c r="Z188">
        <f t="shared" ca="1" si="40"/>
        <v>0</v>
      </c>
      <c r="AA188">
        <f t="shared" si="41"/>
        <v>0</v>
      </c>
    </row>
    <row r="189" spans="13:27" x14ac:dyDescent="0.2">
      <c r="M189">
        <f t="shared" si="32"/>
        <v>0</v>
      </c>
      <c r="N189">
        <f t="shared" ca="1" si="34"/>
        <v>0</v>
      </c>
      <c r="O189">
        <f t="shared" ca="1" si="33"/>
        <v>0</v>
      </c>
      <c r="P189">
        <f t="shared" ca="1" si="35"/>
        <v>0</v>
      </c>
      <c r="Q189">
        <f ca="1">IF(AND(P189&gt;0,SUM($Q$4:Q188)=0),ROW(),0)</f>
        <v>0</v>
      </c>
      <c r="R189">
        <f t="shared" ca="1" si="36"/>
        <v>0</v>
      </c>
      <c r="S189">
        <f t="shared" si="37"/>
        <v>0</v>
      </c>
      <c r="U189">
        <f t="shared" si="42"/>
        <v>0</v>
      </c>
      <c r="V189">
        <f t="shared" ca="1" si="38"/>
        <v>0</v>
      </c>
      <c r="W189">
        <f t="shared" ca="1" si="39"/>
        <v>0</v>
      </c>
      <c r="X189">
        <f t="shared" ca="1" si="43"/>
        <v>0</v>
      </c>
      <c r="Y189">
        <f ca="1">IF(AND(X189&gt;0,SUM($Y$4:Y188)=0),ROW(),0)</f>
        <v>0</v>
      </c>
      <c r="Z189">
        <f t="shared" ca="1" si="40"/>
        <v>0</v>
      </c>
      <c r="AA189">
        <f t="shared" si="41"/>
        <v>0</v>
      </c>
    </row>
    <row r="190" spans="13:27" x14ac:dyDescent="0.2">
      <c r="M190">
        <f t="shared" si="32"/>
        <v>0</v>
      </c>
      <c r="N190">
        <f t="shared" ca="1" si="34"/>
        <v>0</v>
      </c>
      <c r="O190">
        <f t="shared" ca="1" si="33"/>
        <v>0</v>
      </c>
      <c r="P190">
        <f t="shared" ca="1" si="35"/>
        <v>0</v>
      </c>
      <c r="Q190">
        <f ca="1">IF(AND(P190&gt;0,SUM($Q$4:Q189)=0),ROW(),0)</f>
        <v>0</v>
      </c>
      <c r="R190">
        <f t="shared" ca="1" si="36"/>
        <v>0</v>
      </c>
      <c r="S190">
        <f t="shared" si="37"/>
        <v>0</v>
      </c>
      <c r="U190">
        <f t="shared" si="42"/>
        <v>0</v>
      </c>
      <c r="V190">
        <f t="shared" ca="1" si="38"/>
        <v>0</v>
      </c>
      <c r="W190">
        <f t="shared" ca="1" si="39"/>
        <v>0</v>
      </c>
      <c r="X190">
        <f t="shared" ca="1" si="43"/>
        <v>0</v>
      </c>
      <c r="Y190">
        <f ca="1">IF(AND(X190&gt;0,SUM($Y$4:Y189)=0),ROW(),0)</f>
        <v>0</v>
      </c>
      <c r="Z190">
        <f t="shared" ca="1" si="40"/>
        <v>0</v>
      </c>
      <c r="AA190">
        <f t="shared" si="41"/>
        <v>0</v>
      </c>
    </row>
    <row r="191" spans="13:27" x14ac:dyDescent="0.2">
      <c r="M191">
        <f t="shared" si="32"/>
        <v>0</v>
      </c>
      <c r="N191">
        <f t="shared" ca="1" si="34"/>
        <v>0</v>
      </c>
      <c r="O191">
        <f t="shared" ca="1" si="33"/>
        <v>0</v>
      </c>
      <c r="P191">
        <f t="shared" ca="1" si="35"/>
        <v>0</v>
      </c>
      <c r="Q191">
        <f ca="1">IF(AND(P191&gt;0,SUM($Q$4:Q190)=0),ROW(),0)</f>
        <v>0</v>
      </c>
      <c r="R191">
        <f t="shared" ca="1" si="36"/>
        <v>0</v>
      </c>
      <c r="S191">
        <f t="shared" si="37"/>
        <v>0</v>
      </c>
      <c r="U191">
        <f t="shared" si="42"/>
        <v>0</v>
      </c>
      <c r="V191">
        <f t="shared" ca="1" si="38"/>
        <v>0</v>
      </c>
      <c r="W191">
        <f t="shared" ca="1" si="39"/>
        <v>0</v>
      </c>
      <c r="X191">
        <f t="shared" ca="1" si="43"/>
        <v>0</v>
      </c>
      <c r="Y191">
        <f ca="1">IF(AND(X191&gt;0,SUM($Y$4:Y190)=0),ROW(),0)</f>
        <v>0</v>
      </c>
      <c r="Z191">
        <f t="shared" ca="1" si="40"/>
        <v>0</v>
      </c>
      <c r="AA191">
        <f t="shared" si="41"/>
        <v>0</v>
      </c>
    </row>
    <row r="192" spans="13:27" x14ac:dyDescent="0.2">
      <c r="M192">
        <f t="shared" si="32"/>
        <v>0</v>
      </c>
      <c r="N192">
        <f t="shared" ca="1" si="34"/>
        <v>0</v>
      </c>
      <c r="O192">
        <f t="shared" ca="1" si="33"/>
        <v>0</v>
      </c>
      <c r="P192">
        <f t="shared" ca="1" si="35"/>
        <v>0</v>
      </c>
      <c r="Q192">
        <f ca="1">IF(AND(P192&gt;0,SUM($Q$4:Q191)=0),ROW(),0)</f>
        <v>0</v>
      </c>
      <c r="R192">
        <f t="shared" ca="1" si="36"/>
        <v>0</v>
      </c>
      <c r="S192">
        <f t="shared" si="37"/>
        <v>0</v>
      </c>
      <c r="U192">
        <f t="shared" si="42"/>
        <v>0</v>
      </c>
      <c r="V192">
        <f t="shared" ca="1" si="38"/>
        <v>0</v>
      </c>
      <c r="W192">
        <f t="shared" ca="1" si="39"/>
        <v>0</v>
      </c>
      <c r="X192">
        <f t="shared" ca="1" si="43"/>
        <v>0</v>
      </c>
      <c r="Y192">
        <f ca="1">IF(AND(X192&gt;0,SUM($Y$4:Y191)=0),ROW(),0)</f>
        <v>0</v>
      </c>
      <c r="Z192">
        <f t="shared" ca="1" si="40"/>
        <v>0</v>
      </c>
      <c r="AA192">
        <f t="shared" si="41"/>
        <v>0</v>
      </c>
    </row>
    <row r="193" spans="13:27" x14ac:dyDescent="0.2">
      <c r="M193">
        <f t="shared" si="32"/>
        <v>0</v>
      </c>
      <c r="N193">
        <f t="shared" ca="1" si="34"/>
        <v>0</v>
      </c>
      <c r="O193">
        <f t="shared" ca="1" si="33"/>
        <v>0</v>
      </c>
      <c r="P193">
        <f t="shared" ca="1" si="35"/>
        <v>0</v>
      </c>
      <c r="Q193">
        <f ca="1">IF(AND(P193&gt;0,SUM($Q$4:Q192)=0),ROW(),0)</f>
        <v>0</v>
      </c>
      <c r="R193">
        <f t="shared" ca="1" si="36"/>
        <v>0</v>
      </c>
      <c r="S193">
        <f t="shared" si="37"/>
        <v>0</v>
      </c>
      <c r="U193">
        <f t="shared" si="42"/>
        <v>0</v>
      </c>
      <c r="V193">
        <f t="shared" ca="1" si="38"/>
        <v>0</v>
      </c>
      <c r="W193">
        <f t="shared" ca="1" si="39"/>
        <v>0</v>
      </c>
      <c r="X193">
        <f t="shared" ca="1" si="43"/>
        <v>0</v>
      </c>
      <c r="Y193">
        <f ca="1">IF(AND(X193&gt;0,SUM($Y$4:Y192)=0),ROW(),0)</f>
        <v>0</v>
      </c>
      <c r="Z193">
        <f t="shared" ca="1" si="40"/>
        <v>0</v>
      </c>
      <c r="AA193">
        <f t="shared" si="41"/>
        <v>0</v>
      </c>
    </row>
    <row r="194" spans="13:27" x14ac:dyDescent="0.2">
      <c r="M194">
        <f t="shared" ref="M194:M200" si="44">IF(AND(M193&gt;0,M193&lt;=MAX($C$8:$H$8)),M193+0.1,0)</f>
        <v>0</v>
      </c>
      <c r="N194">
        <f t="shared" ca="1" si="34"/>
        <v>0</v>
      </c>
      <c r="O194">
        <f t="shared" ref="O194:O200" ca="1" si="45">IF(AND(M194&gt;0,M194&gt;=INDIRECT(ADDRESS(8,3+$J$18))-2),$C$28*M194*M194+$D$28*M194+$E$28,0)</f>
        <v>0</v>
      </c>
      <c r="P194">
        <f t="shared" ca="1" si="35"/>
        <v>0</v>
      </c>
      <c r="Q194">
        <f ca="1">IF(AND(P194&gt;0,SUM($Q$4:Q193)=0),ROW(),0)</f>
        <v>0</v>
      </c>
      <c r="R194">
        <f t="shared" ca="1" si="36"/>
        <v>0</v>
      </c>
      <c r="S194">
        <f t="shared" si="37"/>
        <v>0</v>
      </c>
      <c r="U194">
        <f t="shared" si="42"/>
        <v>0</v>
      </c>
      <c r="V194">
        <f t="shared" ca="1" si="38"/>
        <v>0</v>
      </c>
      <c r="W194">
        <f t="shared" ca="1" si="39"/>
        <v>0</v>
      </c>
      <c r="X194">
        <f t="shared" ca="1" si="43"/>
        <v>0</v>
      </c>
      <c r="Y194">
        <f ca="1">IF(AND(X194&gt;0,SUM($Y$4:Y193)=0),ROW(),0)</f>
        <v>0</v>
      </c>
      <c r="Z194">
        <f t="shared" ca="1" si="40"/>
        <v>0</v>
      </c>
      <c r="AA194">
        <f t="shared" si="41"/>
        <v>0</v>
      </c>
    </row>
    <row r="195" spans="13:27" x14ac:dyDescent="0.2">
      <c r="M195">
        <f t="shared" si="44"/>
        <v>0</v>
      </c>
      <c r="N195">
        <f t="shared" ca="1" si="34"/>
        <v>0</v>
      </c>
      <c r="O195">
        <f t="shared" ca="1" si="45"/>
        <v>0</v>
      </c>
      <c r="P195">
        <f t="shared" ca="1" si="35"/>
        <v>0</v>
      </c>
      <c r="Q195">
        <f ca="1">IF(AND(P195&gt;0,SUM($Q$4:Q194)=0),ROW(),0)</f>
        <v>0</v>
      </c>
      <c r="R195">
        <f t="shared" ca="1" si="36"/>
        <v>0</v>
      </c>
      <c r="S195">
        <f t="shared" si="37"/>
        <v>0</v>
      </c>
      <c r="U195">
        <f t="shared" si="42"/>
        <v>0</v>
      </c>
      <c r="V195">
        <f t="shared" ca="1" si="38"/>
        <v>0</v>
      </c>
      <c r="W195">
        <f t="shared" ca="1" si="39"/>
        <v>0</v>
      </c>
      <c r="X195">
        <f t="shared" ca="1" si="43"/>
        <v>0</v>
      </c>
      <c r="Y195">
        <f ca="1">IF(AND(X195&gt;0,SUM($Y$4:Y194)=0),ROW(),0)</f>
        <v>0</v>
      </c>
      <c r="Z195">
        <f t="shared" ca="1" si="40"/>
        <v>0</v>
      </c>
      <c r="AA195">
        <f t="shared" si="41"/>
        <v>0</v>
      </c>
    </row>
    <row r="196" spans="13:27" x14ac:dyDescent="0.2">
      <c r="M196">
        <f t="shared" si="44"/>
        <v>0</v>
      </c>
      <c r="N196">
        <f t="shared" ca="1" si="34"/>
        <v>0</v>
      </c>
      <c r="O196">
        <f t="shared" ca="1" si="45"/>
        <v>0</v>
      </c>
      <c r="P196">
        <f t="shared" ca="1" si="35"/>
        <v>0</v>
      </c>
      <c r="Q196">
        <f ca="1">IF(AND(P196&gt;0,SUM($Q$4:Q195)=0),ROW(),0)</f>
        <v>0</v>
      </c>
      <c r="R196">
        <f t="shared" ca="1" si="36"/>
        <v>0</v>
      </c>
      <c r="S196">
        <f t="shared" si="37"/>
        <v>0</v>
      </c>
      <c r="U196">
        <f t="shared" si="42"/>
        <v>0</v>
      </c>
      <c r="V196">
        <f t="shared" ca="1" si="38"/>
        <v>0</v>
      </c>
      <c r="W196">
        <f t="shared" ca="1" si="39"/>
        <v>0</v>
      </c>
      <c r="X196">
        <f t="shared" ca="1" si="43"/>
        <v>0</v>
      </c>
      <c r="Y196">
        <f ca="1">IF(AND(X196&gt;0,SUM($Y$4:Y195)=0),ROW(),0)</f>
        <v>0</v>
      </c>
      <c r="Z196">
        <f t="shared" ca="1" si="40"/>
        <v>0</v>
      </c>
      <c r="AA196">
        <f t="shared" si="41"/>
        <v>0</v>
      </c>
    </row>
    <row r="197" spans="13:27" x14ac:dyDescent="0.2">
      <c r="M197">
        <f t="shared" si="44"/>
        <v>0</v>
      </c>
      <c r="N197">
        <f t="shared" ref="N197:N200" ca="1" si="46">IF(AND(M197&gt;0,M197&lt;=INDIRECT(ADDRESS(8,3+$J$18-1))+2),$C$27*M197*M197+$D$27*M197+$E$27,0)</f>
        <v>0</v>
      </c>
      <c r="O197">
        <f t="shared" ca="1" si="45"/>
        <v>0</v>
      </c>
      <c r="P197">
        <f t="shared" ref="P197:P200" ca="1" si="47">IF(AND(M197&gt;=$K$27-0.5, M197&lt;=$K$27+0.5),IF(AND(M197&lt;=$K$27,M197&gt;0),N197,O197),0)</f>
        <v>0</v>
      </c>
      <c r="Q197">
        <f ca="1">IF(AND(P197&gt;0,SUM($Q$4:Q196)=0),ROW(),0)</f>
        <v>0</v>
      </c>
      <c r="R197">
        <f t="shared" ref="R197:R199" ca="1" si="48">IF(P197&gt;0,$C$31*M197^6+$D$31*M197^5+$E$31*M197^4+$F$31*M197^3+$G$31*M197^2+$H$31*M197+$I$31,0)</f>
        <v>0</v>
      </c>
      <c r="S197">
        <f t="shared" ref="S197:S200" si="49">IF(M197&gt;0,IF(R197&gt;0,R197,IF(M197&lt;=$K$27,N197,O197)),0)</f>
        <v>0</v>
      </c>
      <c r="U197">
        <f t="shared" si="42"/>
        <v>0</v>
      </c>
      <c r="V197">
        <f t="shared" ref="V197:V199" ca="1" si="50">IF(AND(U197&gt;0,U197&lt;=INDIRECT(ADDRESS(8,3+$J$22-1))+2),$C$35*U197*U197+$D$35*U197+$E$35,0)</f>
        <v>0</v>
      </c>
      <c r="W197">
        <f t="shared" ref="W197:W199" ca="1" si="51">IF(AND(U197&gt;0,U197&gt;=INDIRECT(ADDRESS(8,3+$J$22))-2),$C$36*U197*U197+$D$36*U197+$E$36,0)</f>
        <v>0</v>
      </c>
      <c r="X197">
        <f t="shared" ca="1" si="43"/>
        <v>0</v>
      </c>
      <c r="Y197">
        <f ca="1">IF(AND(X197&gt;0,SUM($Y$4:Y196)=0),ROW(),0)</f>
        <v>0</v>
      </c>
      <c r="Z197">
        <f t="shared" ref="Z197:Z199" ca="1" si="52">IF(X197&gt;0,$C$39*U197^6+$D$39*U197^5+$E$39*U197^4+$F$39*U197^3+$G$39*U197^2+$H$39*U197+$I$39,0)</f>
        <v>0</v>
      </c>
      <c r="AA197">
        <f t="shared" ref="AA197:AA199" si="53">IF(U197&gt;0,IF(Z197&gt;0,Z197,IF(U197&lt;=$K$35,V197,W197)),0)</f>
        <v>0</v>
      </c>
    </row>
    <row r="198" spans="13:27" x14ac:dyDescent="0.2">
      <c r="M198">
        <f t="shared" si="44"/>
        <v>0</v>
      </c>
      <c r="N198">
        <f t="shared" ca="1" si="46"/>
        <v>0</v>
      </c>
      <c r="O198">
        <f t="shared" ca="1" si="45"/>
        <v>0</v>
      </c>
      <c r="P198">
        <f t="shared" ca="1" si="47"/>
        <v>0</v>
      </c>
      <c r="Q198">
        <f ca="1">IF(AND(P198&gt;0,SUM($Q$4:Q197)=0),ROW(),0)</f>
        <v>0</v>
      </c>
      <c r="R198">
        <f t="shared" ca="1" si="48"/>
        <v>0</v>
      </c>
      <c r="S198">
        <f t="shared" si="49"/>
        <v>0</v>
      </c>
      <c r="U198">
        <f t="shared" si="42"/>
        <v>0</v>
      </c>
      <c r="V198">
        <f t="shared" ca="1" si="50"/>
        <v>0</v>
      </c>
      <c r="W198">
        <f t="shared" ca="1" si="51"/>
        <v>0</v>
      </c>
      <c r="X198">
        <f t="shared" ca="1" si="43"/>
        <v>0</v>
      </c>
      <c r="Y198">
        <f ca="1">IF(AND(X198&gt;0,SUM($Y$4:Y197)=0),ROW(),0)</f>
        <v>0</v>
      </c>
      <c r="Z198">
        <f t="shared" ca="1" si="52"/>
        <v>0</v>
      </c>
      <c r="AA198">
        <f t="shared" si="53"/>
        <v>0</v>
      </c>
    </row>
    <row r="199" spans="13:27" x14ac:dyDescent="0.2">
      <c r="M199">
        <f t="shared" si="44"/>
        <v>0</v>
      </c>
      <c r="N199">
        <f t="shared" ca="1" si="46"/>
        <v>0</v>
      </c>
      <c r="O199">
        <f t="shared" ca="1" si="45"/>
        <v>0</v>
      </c>
      <c r="P199">
        <f t="shared" ca="1" si="47"/>
        <v>0</v>
      </c>
      <c r="Q199">
        <f ca="1">IF(AND(P199&gt;0,SUM($Q$4:Q198)=0),ROW(),0)</f>
        <v>0</v>
      </c>
      <c r="R199">
        <f t="shared" ca="1" si="48"/>
        <v>0</v>
      </c>
      <c r="S199">
        <f t="shared" si="49"/>
        <v>0</v>
      </c>
      <c r="U199">
        <f t="shared" si="42"/>
        <v>0</v>
      </c>
      <c r="V199">
        <f t="shared" ca="1" si="50"/>
        <v>0</v>
      </c>
      <c r="W199">
        <f t="shared" ca="1" si="51"/>
        <v>0</v>
      </c>
      <c r="X199">
        <f t="shared" ca="1" si="43"/>
        <v>0</v>
      </c>
      <c r="Y199">
        <f ca="1">IF(AND(X199&gt;0,SUM($Y$4:Y198)=0),ROW(),0)</f>
        <v>0</v>
      </c>
      <c r="Z199">
        <f t="shared" ca="1" si="52"/>
        <v>0</v>
      </c>
      <c r="AA199">
        <f t="shared" si="53"/>
        <v>0</v>
      </c>
    </row>
    <row r="200" spans="13:27" x14ac:dyDescent="0.2">
      <c r="M200">
        <f t="shared" si="44"/>
        <v>0</v>
      </c>
      <c r="N200">
        <f t="shared" ca="1" si="46"/>
        <v>0</v>
      </c>
      <c r="O200">
        <f t="shared" ca="1" si="45"/>
        <v>0</v>
      </c>
      <c r="P200">
        <f t="shared" ca="1" si="47"/>
        <v>0</v>
      </c>
      <c r="Q200">
        <f ca="1">IF(AND(P200&gt;0,SUM($Q$4:Q199)=0),P200,0)</f>
        <v>0</v>
      </c>
      <c r="R200">
        <f t="shared" ref="R200" si="54">IF(M200&gt;0,$C$31*M200^6+$D$31*M200^5+$E$31*M200^4+$F$31*M200^3+$G$31*M200^2+$H$31*M200+$I$31,0)</f>
        <v>0</v>
      </c>
      <c r="S200">
        <f t="shared" si="49"/>
        <v>0</v>
      </c>
      <c r="U200">
        <f t="shared" si="42"/>
        <v>0</v>
      </c>
      <c r="V200">
        <f t="shared" ref="V200" ca="1" si="55">IF(AND(U200&gt;0,U200&lt;=INDIRECT(ADDRESS(8,3+$J$18-1))+2),$C$27*U200*U200+$D$27*U200+$E$27,0)</f>
        <v>0</v>
      </c>
      <c r="W200">
        <f t="shared" ref="W200" ca="1" si="56">IF(AND(U200&gt;0,U200&gt;=INDIRECT(ADDRESS(8,3+$J$18))-2),$C$28*U200*U200+$D$28*U200+$E$28,0)</f>
        <v>0</v>
      </c>
      <c r="X200">
        <f t="shared" ca="1" si="43"/>
        <v>0</v>
      </c>
      <c r="Y200">
        <f ca="1">IF(AND(X200&gt;0,SUM($Q$4:Y199)=0),ROW(),0)</f>
        <v>0</v>
      </c>
      <c r="Z200">
        <f t="shared" ref="Z200" ca="1" si="57">IF(X200&gt;0,$C$31*U200^6+$D$31*U200^5+$E$31*U200^4+$F$31*U200^3+$G$31*U200^2+$H$31*U200+$I$31,0)</f>
        <v>0</v>
      </c>
      <c r="AA200">
        <f t="shared" ref="AA200" si="58">IF(U200&gt;0,IF(Z200&gt;0,Z200,IF(U200&lt;=$K$27,V200,W200)),0)</f>
        <v>0</v>
      </c>
    </row>
  </sheetData>
  <sheetProtection sheet="1" selectLockedCells="1" selectUn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J410"/>
  <sheetViews>
    <sheetView showGridLines="0" topLeftCell="A142" workbookViewId="0">
      <selection activeCell="AL194" sqref="AL194:AT195"/>
    </sheetView>
  </sheetViews>
  <sheetFormatPr defaultRowHeight="11.25" x14ac:dyDescent="0.2"/>
  <cols>
    <col min="1" max="49" width="2.28515625" style="58" customWidth="1"/>
    <col min="50" max="16384" width="9.140625" style="58"/>
  </cols>
  <sheetData>
    <row r="1" spans="1:46" ht="11.25" customHeight="1" x14ac:dyDescent="0.2">
      <c r="A1" s="344" t="s">
        <v>182</v>
      </c>
      <c r="B1" s="344"/>
      <c r="C1" s="344"/>
      <c r="D1" s="344"/>
      <c r="E1" s="344"/>
      <c r="F1" s="344"/>
      <c r="G1" s="344"/>
      <c r="H1" s="344"/>
      <c r="I1" s="344"/>
      <c r="J1" s="344"/>
      <c r="P1" s="705" t="s">
        <v>1</v>
      </c>
      <c r="Q1" s="705"/>
      <c r="R1" s="705"/>
      <c r="S1" s="705"/>
      <c r="T1" s="705"/>
      <c r="U1" s="705"/>
      <c r="V1" s="705"/>
      <c r="W1" s="705"/>
      <c r="X1" s="705"/>
      <c r="Y1" s="705"/>
      <c r="Z1" s="705"/>
      <c r="AA1" s="705"/>
      <c r="AB1" s="705"/>
      <c r="AC1" s="705"/>
      <c r="AD1" s="705"/>
      <c r="AE1" s="705"/>
      <c r="AF1" s="705"/>
      <c r="AG1" s="705"/>
      <c r="AO1" s="601" t="s">
        <v>184</v>
      </c>
      <c r="AP1" s="601"/>
      <c r="AQ1" s="601"/>
      <c r="AR1" s="601"/>
      <c r="AS1" s="601"/>
      <c r="AT1" s="601"/>
    </row>
    <row r="2" spans="1:46" ht="12" customHeight="1" x14ac:dyDescent="0.2">
      <c r="H2" s="444" t="s">
        <v>121</v>
      </c>
      <c r="R2" s="728" t="s">
        <v>183</v>
      </c>
      <c r="S2" s="728"/>
      <c r="T2" s="728"/>
      <c r="U2" s="728"/>
      <c r="V2" s="728"/>
      <c r="W2" s="728"/>
      <c r="X2" s="728"/>
      <c r="Y2" s="728"/>
      <c r="Z2" s="728"/>
      <c r="AA2" s="728"/>
      <c r="AB2" s="728"/>
      <c r="AC2" s="728"/>
      <c r="AD2" s="728"/>
      <c r="AE2" s="728"/>
      <c r="AO2" s="601"/>
      <c r="AP2" s="601"/>
      <c r="AQ2" s="601"/>
      <c r="AR2" s="601"/>
      <c r="AS2" s="601"/>
      <c r="AT2" s="601"/>
    </row>
    <row r="3" spans="1:46" ht="1.5" customHeight="1" x14ac:dyDescent="0.2">
      <c r="A3" s="344" t="s">
        <v>2</v>
      </c>
      <c r="B3" s="344"/>
      <c r="C3" s="344"/>
      <c r="D3" s="344"/>
      <c r="E3" s="344"/>
      <c r="F3" s="344"/>
      <c r="H3" s="444"/>
      <c r="K3" s="59"/>
      <c r="L3" s="59"/>
      <c r="M3" s="59"/>
      <c r="N3" s="59"/>
      <c r="O3" s="59"/>
      <c r="P3" s="59"/>
      <c r="Q3" s="59"/>
      <c r="R3" s="59"/>
      <c r="S3" s="59"/>
      <c r="T3" s="59"/>
      <c r="AO3" s="601"/>
      <c r="AP3" s="601"/>
      <c r="AQ3" s="601"/>
      <c r="AR3" s="601"/>
      <c r="AS3" s="601"/>
      <c r="AT3" s="601"/>
    </row>
    <row r="4" spans="1:46" ht="5.45" customHeight="1" x14ac:dyDescent="0.2">
      <c r="A4" s="344"/>
      <c r="B4" s="344"/>
      <c r="C4" s="344"/>
      <c r="D4" s="344"/>
      <c r="E4" s="344"/>
      <c r="F4" s="344"/>
      <c r="H4" s="444"/>
      <c r="J4" s="608" t="s">
        <v>44</v>
      </c>
      <c r="K4" s="608"/>
      <c r="L4" s="608"/>
      <c r="M4" s="608"/>
      <c r="N4" s="608"/>
      <c r="O4" s="608"/>
      <c r="P4" s="608"/>
      <c r="Q4" s="608"/>
      <c r="R4" s="608"/>
      <c r="S4" s="608"/>
      <c r="T4" s="608"/>
      <c r="AO4" s="601"/>
      <c r="AP4" s="601"/>
      <c r="AQ4" s="601"/>
      <c r="AR4" s="601"/>
      <c r="AS4" s="601"/>
      <c r="AT4" s="601"/>
    </row>
    <row r="5" spans="1:46" ht="5.45" customHeight="1" x14ac:dyDescent="0.2">
      <c r="A5" s="344"/>
      <c r="B5" s="344"/>
      <c r="C5" s="344"/>
      <c r="D5" s="344"/>
      <c r="E5" s="344"/>
      <c r="F5" s="344"/>
      <c r="H5" s="61"/>
      <c r="J5" s="608"/>
      <c r="K5" s="608"/>
      <c r="L5" s="608"/>
      <c r="M5" s="608"/>
      <c r="N5" s="608"/>
      <c r="O5" s="608"/>
      <c r="P5" s="608"/>
      <c r="Q5" s="608"/>
      <c r="R5" s="608"/>
      <c r="S5" s="608"/>
      <c r="T5" s="608"/>
      <c r="AO5" s="601"/>
      <c r="AP5" s="601"/>
      <c r="AQ5" s="601"/>
      <c r="AR5" s="601"/>
      <c r="AS5" s="601"/>
      <c r="AT5" s="601"/>
    </row>
    <row r="6" spans="1:46" ht="5.45" customHeight="1" x14ac:dyDescent="0.2">
      <c r="G6" s="444"/>
      <c r="H6" s="444"/>
      <c r="I6" s="444"/>
      <c r="J6" s="444"/>
      <c r="K6" s="444"/>
      <c r="L6" s="444"/>
      <c r="M6" s="444"/>
      <c r="N6" s="444"/>
      <c r="O6" s="444"/>
      <c r="P6" s="444"/>
      <c r="Q6" s="444"/>
      <c r="S6" s="60"/>
      <c r="T6" s="60"/>
      <c r="U6" s="60"/>
      <c r="V6" s="276"/>
      <c r="X6" s="608" t="s">
        <v>525</v>
      </c>
      <c r="Y6" s="608"/>
      <c r="Z6" s="608"/>
      <c r="AA6" s="444"/>
      <c r="AB6" s="444"/>
      <c r="AC6" s="62"/>
      <c r="AD6" s="62"/>
      <c r="AI6" s="444"/>
      <c r="AJ6" s="444"/>
      <c r="AK6" s="444"/>
      <c r="AL6" s="444"/>
      <c r="AM6" s="444"/>
      <c r="AN6" s="444"/>
      <c r="AO6" s="444"/>
      <c r="AP6" s="444"/>
      <c r="AQ6" s="444"/>
    </row>
    <row r="7" spans="1:46" ht="5.45" customHeight="1" x14ac:dyDescent="0.2">
      <c r="A7" s="344" t="s">
        <v>5</v>
      </c>
      <c r="B7" s="344"/>
      <c r="C7" s="344"/>
      <c r="D7" s="344"/>
      <c r="E7" s="344"/>
      <c r="F7" s="344"/>
      <c r="G7" s="444"/>
      <c r="H7" s="444"/>
      <c r="I7" s="444"/>
      <c r="J7" s="444"/>
      <c r="K7" s="444"/>
      <c r="L7" s="444"/>
      <c r="M7" s="444"/>
      <c r="N7" s="444"/>
      <c r="O7" s="444"/>
      <c r="P7" s="444"/>
      <c r="Q7" s="444"/>
      <c r="S7" s="607" t="s">
        <v>524</v>
      </c>
      <c r="T7" s="607"/>
      <c r="U7" s="607"/>
      <c r="V7" s="276"/>
      <c r="X7" s="608"/>
      <c r="Y7" s="608"/>
      <c r="Z7" s="608"/>
      <c r="AA7" s="444"/>
      <c r="AB7" s="444"/>
      <c r="AC7" s="63"/>
      <c r="AD7" s="63"/>
      <c r="AE7" s="344" t="s">
        <v>15</v>
      </c>
      <c r="AF7" s="344"/>
      <c r="AG7" s="344"/>
      <c r="AH7" s="60"/>
      <c r="AI7" s="444"/>
      <c r="AJ7" s="444"/>
      <c r="AK7" s="444"/>
      <c r="AL7" s="444"/>
      <c r="AM7" s="444"/>
      <c r="AN7" s="444"/>
      <c r="AO7" s="444"/>
      <c r="AP7" s="444"/>
      <c r="AQ7" s="444"/>
    </row>
    <row r="8" spans="1:46" ht="5.45" customHeight="1" x14ac:dyDescent="0.2">
      <c r="A8" s="344"/>
      <c r="B8" s="344"/>
      <c r="C8" s="344"/>
      <c r="D8" s="344"/>
      <c r="E8" s="344"/>
      <c r="F8" s="344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S8" s="607"/>
      <c r="T8" s="607"/>
      <c r="U8" s="607"/>
      <c r="V8" s="61"/>
      <c r="X8" s="608"/>
      <c r="Y8" s="608"/>
      <c r="Z8" s="608"/>
      <c r="AA8" s="61"/>
      <c r="AB8" s="61"/>
      <c r="AC8" s="64"/>
      <c r="AD8" s="64"/>
      <c r="AE8" s="344"/>
      <c r="AF8" s="344"/>
      <c r="AG8" s="344"/>
      <c r="AH8" s="65"/>
      <c r="AI8" s="61"/>
      <c r="AJ8" s="61"/>
      <c r="AK8" s="61"/>
      <c r="AL8" s="61"/>
      <c r="AM8" s="61"/>
      <c r="AN8" s="61"/>
      <c r="AO8" s="61"/>
      <c r="AP8" s="61"/>
      <c r="AQ8" s="61"/>
    </row>
    <row r="9" spans="1:46" ht="5.45" customHeight="1" x14ac:dyDescent="0.2">
      <c r="A9" s="57"/>
      <c r="B9" s="57"/>
      <c r="C9" s="57"/>
      <c r="D9" s="57"/>
      <c r="E9" s="57"/>
      <c r="F9" s="57"/>
      <c r="G9" s="598"/>
      <c r="H9" s="281"/>
      <c r="I9" s="281"/>
      <c r="J9" s="281"/>
      <c r="K9" s="281"/>
      <c r="L9" s="281"/>
      <c r="M9" s="281"/>
      <c r="N9" s="281"/>
      <c r="O9" s="64"/>
      <c r="P9" s="64"/>
      <c r="Q9" s="64"/>
      <c r="S9" s="60"/>
      <c r="T9" s="60"/>
      <c r="U9" s="60"/>
      <c r="V9" s="60"/>
      <c r="W9" s="60"/>
      <c r="X9" s="60"/>
      <c r="Y9" s="444"/>
      <c r="Z9" s="444"/>
      <c r="AA9" s="444"/>
      <c r="AB9" s="444"/>
      <c r="AC9" s="63"/>
      <c r="AD9" s="63"/>
      <c r="AE9" s="60"/>
      <c r="AF9" s="60"/>
      <c r="AG9" s="60"/>
      <c r="AH9" s="60"/>
      <c r="AI9" s="281"/>
      <c r="AJ9" s="281"/>
      <c r="AK9" s="281"/>
      <c r="AL9" s="281"/>
      <c r="AM9" s="281"/>
      <c r="AN9" s="281"/>
    </row>
    <row r="10" spans="1:46" ht="5.45" customHeight="1" x14ac:dyDescent="0.2">
      <c r="A10" s="344" t="s">
        <v>6</v>
      </c>
      <c r="B10" s="344"/>
      <c r="C10" s="344"/>
      <c r="D10" s="344"/>
      <c r="E10" s="344"/>
      <c r="F10" s="344"/>
      <c r="G10" s="276"/>
      <c r="H10" s="276"/>
      <c r="I10" s="276"/>
      <c r="J10" s="276"/>
      <c r="K10" s="276"/>
      <c r="L10" s="276"/>
      <c r="M10" s="276"/>
      <c r="N10" s="276"/>
      <c r="S10" s="344" t="s">
        <v>13</v>
      </c>
      <c r="T10" s="344"/>
      <c r="U10" s="344"/>
      <c r="V10" s="344"/>
      <c r="W10" s="344"/>
      <c r="X10" s="344"/>
      <c r="Y10" s="444"/>
      <c r="Z10" s="444"/>
      <c r="AA10" s="444"/>
      <c r="AB10" s="444"/>
      <c r="AC10" s="63"/>
      <c r="AD10" s="63"/>
      <c r="AE10" s="608" t="s">
        <v>16</v>
      </c>
      <c r="AF10" s="608"/>
      <c r="AG10" s="608"/>
      <c r="AH10" s="60"/>
      <c r="AI10" s="276"/>
      <c r="AJ10" s="276"/>
      <c r="AK10" s="276"/>
      <c r="AL10" s="276"/>
      <c r="AM10" s="276"/>
      <c r="AN10" s="276"/>
    </row>
    <row r="11" spans="1:46" ht="5.45" customHeight="1" x14ac:dyDescent="0.2">
      <c r="A11" s="344"/>
      <c r="B11" s="344"/>
      <c r="C11" s="344"/>
      <c r="D11" s="344"/>
      <c r="E11" s="344"/>
      <c r="F11" s="344"/>
      <c r="G11" s="61"/>
      <c r="H11" s="61"/>
      <c r="I11" s="61"/>
      <c r="J11" s="61"/>
      <c r="K11" s="61"/>
      <c r="L11" s="61"/>
      <c r="M11" s="61"/>
      <c r="N11" s="61"/>
      <c r="S11" s="344"/>
      <c r="T11" s="344"/>
      <c r="U11" s="344"/>
      <c r="V11" s="344"/>
      <c r="W11" s="344"/>
      <c r="X11" s="344"/>
      <c r="Y11" s="61"/>
      <c r="Z11" s="61"/>
      <c r="AA11" s="61"/>
      <c r="AB11" s="61"/>
      <c r="AC11" s="67"/>
      <c r="AD11" s="64"/>
      <c r="AE11" s="608"/>
      <c r="AF11" s="608"/>
      <c r="AG11" s="608"/>
      <c r="AH11" s="60"/>
      <c r="AI11" s="61"/>
      <c r="AJ11" s="61"/>
      <c r="AK11" s="61"/>
      <c r="AL11" s="61"/>
      <c r="AM11" s="61"/>
      <c r="AN11" s="61"/>
    </row>
    <row r="12" spans="1:46" ht="3.75" customHeight="1" x14ac:dyDescent="0.2">
      <c r="A12" s="57"/>
      <c r="B12" s="57"/>
      <c r="C12" s="57"/>
      <c r="D12" s="57"/>
      <c r="E12" s="57"/>
      <c r="F12" s="57"/>
      <c r="G12" s="281"/>
      <c r="S12" s="60"/>
      <c r="T12" s="60"/>
      <c r="U12" s="60"/>
      <c r="V12" s="444"/>
      <c r="W12" s="444"/>
      <c r="X12" s="444"/>
      <c r="Y12" s="444"/>
      <c r="AC12" s="64"/>
      <c r="AD12" s="64"/>
      <c r="AK12" s="276"/>
      <c r="AL12" s="276"/>
      <c r="AM12" s="276"/>
      <c r="AN12" s="276"/>
      <c r="AO12" s="276"/>
      <c r="AP12" s="276"/>
      <c r="AQ12" s="276"/>
      <c r="AR12" s="276"/>
      <c r="AS12" s="276"/>
      <c r="AT12" s="276"/>
    </row>
    <row r="13" spans="1:46" ht="6.2" customHeight="1" x14ac:dyDescent="0.2">
      <c r="A13" s="344" t="s">
        <v>7</v>
      </c>
      <c r="B13" s="344"/>
      <c r="C13" s="344"/>
      <c r="D13" s="344"/>
      <c r="E13" s="344"/>
      <c r="F13" s="344"/>
      <c r="G13" s="444"/>
      <c r="S13" s="344" t="s">
        <v>185</v>
      </c>
      <c r="T13" s="344"/>
      <c r="U13" s="344"/>
      <c r="V13" s="444"/>
      <c r="W13" s="444"/>
      <c r="X13" s="444"/>
      <c r="Y13" s="444"/>
      <c r="AC13" s="64"/>
      <c r="AD13" s="64"/>
      <c r="AE13" s="607" t="s">
        <v>14</v>
      </c>
      <c r="AF13" s="607"/>
      <c r="AG13" s="607"/>
      <c r="AH13" s="607"/>
      <c r="AI13" s="607"/>
      <c r="AJ13" s="607"/>
      <c r="AK13" s="276"/>
      <c r="AL13" s="276"/>
      <c r="AM13" s="276"/>
      <c r="AN13" s="276"/>
      <c r="AO13" s="276"/>
      <c r="AP13" s="276"/>
      <c r="AQ13" s="276"/>
      <c r="AR13" s="276"/>
      <c r="AS13" s="276"/>
      <c r="AT13" s="276"/>
    </row>
    <row r="14" spans="1:46" ht="5.65" customHeight="1" x14ac:dyDescent="0.2">
      <c r="A14" s="344"/>
      <c r="B14" s="344"/>
      <c r="C14" s="344"/>
      <c r="D14" s="344"/>
      <c r="E14" s="344"/>
      <c r="F14" s="344"/>
      <c r="G14" s="61"/>
      <c r="S14" s="344"/>
      <c r="T14" s="344"/>
      <c r="U14" s="344"/>
      <c r="V14" s="68"/>
      <c r="W14" s="68"/>
      <c r="X14" s="68"/>
      <c r="Y14" s="61"/>
      <c r="AC14" s="64"/>
      <c r="AD14" s="64"/>
      <c r="AE14" s="607"/>
      <c r="AF14" s="607"/>
      <c r="AG14" s="607"/>
      <c r="AH14" s="607"/>
      <c r="AI14" s="607"/>
      <c r="AJ14" s="607"/>
      <c r="AK14" s="61"/>
      <c r="AL14" s="61"/>
      <c r="AM14" s="61"/>
      <c r="AN14" s="61"/>
      <c r="AO14" s="61"/>
      <c r="AP14" s="61"/>
      <c r="AQ14" s="61"/>
      <c r="AR14" s="61"/>
      <c r="AS14" s="61"/>
      <c r="AT14" s="61"/>
    </row>
    <row r="15" spans="1:46" ht="3.75" customHeight="1" x14ac:dyDescent="0.2">
      <c r="A15" s="57"/>
      <c r="B15" s="57"/>
      <c r="C15" s="57"/>
      <c r="D15" s="57"/>
      <c r="E15" s="57"/>
      <c r="F15" s="57"/>
      <c r="G15" s="658"/>
      <c r="H15" s="444"/>
      <c r="I15" s="444"/>
      <c r="J15" s="444"/>
      <c r="K15" s="444"/>
      <c r="L15" s="444"/>
      <c r="M15" s="444"/>
      <c r="N15" s="444"/>
      <c r="S15" s="60"/>
      <c r="T15" s="60"/>
      <c r="U15" s="60"/>
      <c r="V15" s="444"/>
      <c r="W15" s="444"/>
      <c r="X15" s="444"/>
      <c r="Y15" s="444"/>
      <c r="Z15" s="444"/>
      <c r="AA15" s="444"/>
      <c r="AB15" s="444"/>
      <c r="AC15" s="63"/>
      <c r="AD15" s="63"/>
      <c r="AE15" s="223"/>
      <c r="AF15" s="223"/>
      <c r="AG15" s="223"/>
      <c r="AH15" s="223"/>
      <c r="AI15" s="223"/>
      <c r="AJ15" s="223"/>
      <c r="AK15" s="276"/>
      <c r="AL15" s="276"/>
      <c r="AM15" s="276"/>
      <c r="AN15" s="276"/>
      <c r="AO15" s="276"/>
      <c r="AP15" s="276"/>
      <c r="AQ15" s="276"/>
      <c r="AR15" s="276"/>
      <c r="AS15" s="276"/>
      <c r="AT15" s="276"/>
    </row>
    <row r="16" spans="1:46" ht="5.45" customHeight="1" x14ac:dyDescent="0.2">
      <c r="A16" s="344" t="s">
        <v>8</v>
      </c>
      <c r="B16" s="344"/>
      <c r="C16" s="344"/>
      <c r="D16" s="344"/>
      <c r="E16" s="344"/>
      <c r="F16" s="69"/>
      <c r="G16" s="444"/>
      <c r="H16" s="444"/>
      <c r="I16" s="444"/>
      <c r="J16" s="444"/>
      <c r="K16" s="444"/>
      <c r="L16" s="444"/>
      <c r="M16" s="444"/>
      <c r="N16" s="444"/>
      <c r="O16" s="64"/>
      <c r="S16" s="442" t="s">
        <v>40</v>
      </c>
      <c r="T16" s="442"/>
      <c r="U16" s="442"/>
      <c r="V16" s="444"/>
      <c r="W16" s="444"/>
      <c r="X16" s="444"/>
      <c r="Y16" s="444"/>
      <c r="Z16" s="444"/>
      <c r="AA16" s="444"/>
      <c r="AB16" s="444"/>
      <c r="AC16" s="63"/>
      <c r="AD16" s="63"/>
      <c r="AE16" s="607" t="s">
        <v>526</v>
      </c>
      <c r="AF16" s="607"/>
      <c r="AG16" s="607"/>
      <c r="AH16" s="607"/>
      <c r="AI16" s="607"/>
      <c r="AJ16" s="607"/>
      <c r="AK16" s="276"/>
      <c r="AL16" s="276"/>
      <c r="AM16" s="276"/>
      <c r="AN16" s="276"/>
      <c r="AO16" s="276"/>
      <c r="AP16" s="276"/>
      <c r="AQ16" s="276"/>
      <c r="AR16" s="276"/>
      <c r="AS16" s="276"/>
      <c r="AT16" s="276"/>
    </row>
    <row r="17" spans="1:46" ht="5.45" customHeight="1" x14ac:dyDescent="0.2">
      <c r="A17" s="344"/>
      <c r="B17" s="344"/>
      <c r="C17" s="344"/>
      <c r="D17" s="344"/>
      <c r="E17" s="344"/>
      <c r="F17" s="70"/>
      <c r="G17" s="61"/>
      <c r="H17" s="61"/>
      <c r="I17" s="61"/>
      <c r="J17" s="61"/>
      <c r="K17" s="61"/>
      <c r="L17" s="61"/>
      <c r="M17" s="61"/>
      <c r="N17" s="61"/>
      <c r="O17" s="64"/>
      <c r="S17" s="442"/>
      <c r="T17" s="442"/>
      <c r="U17" s="442"/>
      <c r="V17" s="68"/>
      <c r="W17" s="68"/>
      <c r="X17" s="68"/>
      <c r="Y17" s="61"/>
      <c r="Z17" s="61"/>
      <c r="AA17" s="61"/>
      <c r="AC17" s="67"/>
      <c r="AD17" s="64"/>
      <c r="AE17" s="607"/>
      <c r="AF17" s="607"/>
      <c r="AG17" s="607"/>
      <c r="AH17" s="607"/>
      <c r="AI17" s="607"/>
      <c r="AJ17" s="607"/>
      <c r="AK17" s="61"/>
      <c r="AL17" s="61"/>
      <c r="AM17" s="61"/>
      <c r="AN17" s="61"/>
      <c r="AO17" s="61"/>
      <c r="AP17" s="61"/>
      <c r="AQ17" s="61"/>
      <c r="AR17" s="61"/>
      <c r="AS17" s="61"/>
      <c r="AT17" s="61"/>
    </row>
    <row r="18" spans="1:46" ht="5.45" customHeight="1" x14ac:dyDescent="0.2">
      <c r="A18" s="57"/>
      <c r="B18" s="57"/>
      <c r="C18" s="57"/>
      <c r="D18" s="57"/>
      <c r="E18" s="57"/>
      <c r="F18" s="70"/>
      <c r="G18" s="416"/>
      <c r="H18" s="416"/>
      <c r="I18" s="416"/>
      <c r="J18" s="416"/>
      <c r="K18" s="659" t="s">
        <v>187</v>
      </c>
      <c r="L18" s="416"/>
      <c r="M18" s="416"/>
      <c r="N18" s="416"/>
      <c r="O18" s="70"/>
      <c r="P18" s="70"/>
      <c r="Q18" s="57"/>
      <c r="R18" s="57"/>
      <c r="S18" s="57"/>
      <c r="T18" s="57"/>
      <c r="U18" s="70"/>
      <c r="V18" s="277"/>
      <c r="W18" s="277"/>
      <c r="X18" s="277"/>
      <c r="Y18" s="416"/>
      <c r="Z18" s="659" t="s">
        <v>187</v>
      </c>
      <c r="AA18" s="416"/>
      <c r="AB18" s="416"/>
      <c r="AC18" s="277"/>
      <c r="AE18" s="60"/>
      <c r="AF18" s="60"/>
      <c r="AG18" s="60"/>
      <c r="AH18" s="60"/>
      <c r="AI18" s="444"/>
      <c r="AJ18" s="444"/>
      <c r="AK18" s="444"/>
      <c r="AL18" s="444"/>
      <c r="AM18" s="444"/>
      <c r="AN18" s="444"/>
      <c r="AO18" s="444"/>
      <c r="AP18" s="444"/>
      <c r="AQ18" s="444"/>
      <c r="AR18" s="444"/>
      <c r="AS18" s="444"/>
      <c r="AT18" s="444"/>
    </row>
    <row r="19" spans="1:46" ht="5.45" customHeight="1" x14ac:dyDescent="0.2">
      <c r="A19" s="344" t="s">
        <v>186</v>
      </c>
      <c r="B19" s="344"/>
      <c r="C19" s="344"/>
      <c r="D19" s="344"/>
      <c r="E19" s="344"/>
      <c r="F19" s="70"/>
      <c r="G19" s="277"/>
      <c r="H19" s="277"/>
      <c r="I19" s="277"/>
      <c r="J19" s="277"/>
      <c r="K19" s="417"/>
      <c r="L19" s="277"/>
      <c r="M19" s="277"/>
      <c r="N19" s="277"/>
      <c r="O19" s="70"/>
      <c r="P19" s="70"/>
      <c r="Q19" s="344" t="s">
        <v>188</v>
      </c>
      <c r="R19" s="344"/>
      <c r="S19" s="344"/>
      <c r="T19" s="344"/>
      <c r="U19" s="344"/>
      <c r="V19" s="277"/>
      <c r="W19" s="277"/>
      <c r="X19" s="277"/>
      <c r="Y19" s="277"/>
      <c r="Z19" s="417"/>
      <c r="AA19" s="277"/>
      <c r="AB19" s="277"/>
      <c r="AC19" s="277"/>
      <c r="AE19" s="390" t="s">
        <v>191</v>
      </c>
      <c r="AF19" s="390"/>
      <c r="AG19" s="390"/>
      <c r="AH19" s="390"/>
      <c r="AI19" s="444"/>
      <c r="AJ19" s="444"/>
      <c r="AK19" s="444"/>
      <c r="AL19" s="444"/>
      <c r="AM19" s="444"/>
      <c r="AN19" s="444"/>
      <c r="AO19" s="444"/>
      <c r="AP19" s="444"/>
      <c r="AQ19" s="444"/>
      <c r="AR19" s="444"/>
      <c r="AS19" s="444"/>
      <c r="AT19" s="444"/>
    </row>
    <row r="20" spans="1:46" ht="6.2" customHeight="1" x14ac:dyDescent="0.2">
      <c r="A20" s="344"/>
      <c r="B20" s="344"/>
      <c r="C20" s="344"/>
      <c r="D20" s="344"/>
      <c r="E20" s="344"/>
      <c r="F20" s="71"/>
      <c r="G20" s="61"/>
      <c r="H20" s="61"/>
      <c r="I20" s="61"/>
      <c r="J20" s="61"/>
      <c r="K20" s="72"/>
      <c r="L20" s="61"/>
      <c r="M20" s="61"/>
      <c r="N20" s="61"/>
      <c r="O20" s="67"/>
      <c r="P20" s="64"/>
      <c r="Q20" s="344"/>
      <c r="R20" s="344"/>
      <c r="S20" s="344"/>
      <c r="T20" s="344"/>
      <c r="U20" s="344"/>
      <c r="V20" s="61"/>
      <c r="W20" s="61"/>
      <c r="X20" s="61"/>
      <c r="Y20" s="61"/>
      <c r="Z20" s="72"/>
      <c r="AA20" s="61"/>
      <c r="AB20" s="61"/>
      <c r="AC20" s="61"/>
      <c r="AE20" s="390"/>
      <c r="AF20" s="390"/>
      <c r="AG20" s="390"/>
      <c r="AH20" s="390"/>
      <c r="AI20" s="73"/>
      <c r="AJ20" s="73"/>
      <c r="AK20" s="73"/>
      <c r="AL20" s="73"/>
      <c r="AM20" s="73"/>
      <c r="AN20" s="73"/>
      <c r="AO20" s="73"/>
      <c r="AP20" s="73"/>
      <c r="AQ20" s="73"/>
      <c r="AR20" s="61"/>
      <c r="AS20" s="61"/>
      <c r="AT20" s="61"/>
    </row>
    <row r="21" spans="1:46" ht="3.75" customHeight="1" x14ac:dyDescent="0.2">
      <c r="A21" s="57"/>
      <c r="B21" s="57"/>
      <c r="C21" s="57"/>
      <c r="D21" s="57"/>
      <c r="E21" s="57"/>
      <c r="F21" s="70"/>
      <c r="G21" s="277"/>
      <c r="H21" s="277"/>
      <c r="I21" s="277"/>
      <c r="J21" s="277"/>
      <c r="K21" s="277"/>
      <c r="L21" s="277"/>
      <c r="M21" s="277"/>
      <c r="N21" s="277"/>
      <c r="O21" s="277"/>
      <c r="P21" s="70"/>
      <c r="Q21" s="57"/>
      <c r="R21" s="57"/>
      <c r="S21" s="57"/>
      <c r="T21" s="57"/>
      <c r="U21" s="74"/>
      <c r="V21" s="277"/>
      <c r="W21" s="277"/>
      <c r="X21" s="277"/>
      <c r="Y21" s="277"/>
      <c r="Z21" s="277"/>
      <c r="AA21" s="75"/>
      <c r="AB21" s="277"/>
      <c r="AC21" s="277"/>
      <c r="AD21" s="277"/>
      <c r="AE21" s="277"/>
      <c r="AF21" s="277"/>
      <c r="AK21" s="62"/>
      <c r="AL21" s="62"/>
      <c r="AM21" s="62"/>
      <c r="AN21" s="62"/>
      <c r="AO21" s="281"/>
      <c r="AP21" s="281"/>
      <c r="AQ21" s="281"/>
      <c r="AR21" s="281"/>
      <c r="AS21" s="281"/>
      <c r="AT21" s="281"/>
    </row>
    <row r="22" spans="1:46" ht="5.45" customHeight="1" x14ac:dyDescent="0.2">
      <c r="A22" s="344" t="s">
        <v>189</v>
      </c>
      <c r="B22" s="344"/>
      <c r="C22" s="344"/>
      <c r="D22" s="344"/>
      <c r="E22" s="344"/>
      <c r="F22" s="69"/>
      <c r="G22" s="277"/>
      <c r="H22" s="277"/>
      <c r="I22" s="277"/>
      <c r="J22" s="277"/>
      <c r="K22" s="277"/>
      <c r="L22" s="277"/>
      <c r="M22" s="277"/>
      <c r="N22" s="277"/>
      <c r="O22" s="277"/>
      <c r="P22" s="70"/>
      <c r="Q22" s="344" t="s">
        <v>190</v>
      </c>
      <c r="R22" s="344"/>
      <c r="S22" s="344"/>
      <c r="T22" s="344"/>
      <c r="U22" s="344"/>
      <c r="V22" s="277"/>
      <c r="W22" s="277"/>
      <c r="X22" s="277"/>
      <c r="Y22" s="277"/>
      <c r="Z22" s="277"/>
      <c r="AA22" s="70"/>
      <c r="AB22" s="277"/>
      <c r="AC22" s="277"/>
      <c r="AD22" s="277"/>
      <c r="AE22" s="277"/>
      <c r="AF22" s="277"/>
      <c r="AH22" s="395" t="s">
        <v>192</v>
      </c>
      <c r="AI22" s="395"/>
      <c r="AJ22" s="395"/>
      <c r="AK22" s="395"/>
      <c r="AL22" s="395"/>
      <c r="AM22" s="395"/>
      <c r="AN22" s="395"/>
      <c r="AO22" s="444"/>
      <c r="AP22" s="444"/>
      <c r="AQ22" s="444"/>
      <c r="AR22" s="444"/>
      <c r="AS22" s="444"/>
      <c r="AT22" s="444"/>
    </row>
    <row r="23" spans="1:46" ht="5.45" customHeight="1" x14ac:dyDescent="0.2">
      <c r="A23" s="344"/>
      <c r="B23" s="344"/>
      <c r="C23" s="344"/>
      <c r="D23" s="344"/>
      <c r="E23" s="344"/>
      <c r="F23" s="64"/>
      <c r="G23" s="604"/>
      <c r="H23" s="604"/>
      <c r="I23" s="604"/>
      <c r="J23" s="604"/>
      <c r="K23" s="604"/>
      <c r="L23" s="604"/>
      <c r="M23" s="604"/>
      <c r="N23" s="604"/>
      <c r="O23" s="604"/>
      <c r="P23" s="64"/>
      <c r="Q23" s="344"/>
      <c r="R23" s="344"/>
      <c r="S23" s="344"/>
      <c r="T23" s="344"/>
      <c r="U23" s="344"/>
      <c r="V23" s="61"/>
      <c r="W23" s="61"/>
      <c r="X23" s="77"/>
      <c r="Y23" s="61"/>
      <c r="Z23" s="61"/>
      <c r="AA23" s="72"/>
      <c r="AB23" s="61"/>
      <c r="AC23" s="61"/>
      <c r="AD23" s="61"/>
      <c r="AE23" s="61"/>
      <c r="AF23" s="61"/>
      <c r="AH23" s="395"/>
      <c r="AI23" s="395"/>
      <c r="AJ23" s="395"/>
      <c r="AK23" s="395"/>
      <c r="AL23" s="395"/>
      <c r="AM23" s="395"/>
      <c r="AN23" s="395"/>
      <c r="AO23" s="73"/>
      <c r="AP23" s="73"/>
      <c r="AQ23" s="73"/>
      <c r="AR23" s="61"/>
      <c r="AS23" s="61"/>
      <c r="AT23" s="61"/>
    </row>
    <row r="24" spans="1:46" ht="5.45" customHeight="1" x14ac:dyDescent="0.2">
      <c r="A24" s="57"/>
      <c r="B24" s="57"/>
      <c r="C24" s="57"/>
      <c r="D24" s="57"/>
      <c r="E24" s="57"/>
      <c r="F24" s="656"/>
      <c r="G24" s="656"/>
      <c r="H24" s="656"/>
      <c r="I24" s="656"/>
      <c r="J24" s="656"/>
      <c r="K24" s="656"/>
      <c r="L24" s="656"/>
      <c r="M24" s="656"/>
      <c r="N24" s="656"/>
      <c r="O24" s="656"/>
      <c r="P24" s="656"/>
      <c r="Q24" s="656"/>
      <c r="AK24" s="444"/>
      <c r="AL24" s="444"/>
      <c r="AM24" s="444"/>
      <c r="AN24" s="444"/>
      <c r="AO24" s="444"/>
      <c r="AP24" s="444"/>
      <c r="AQ24" s="444"/>
      <c r="AR24" s="444"/>
      <c r="AS24" s="444"/>
      <c r="AT24" s="444"/>
    </row>
    <row r="25" spans="1:46" ht="5.45" customHeight="1" x14ac:dyDescent="0.2">
      <c r="A25" s="344" t="s">
        <v>9</v>
      </c>
      <c r="B25" s="344"/>
      <c r="C25" s="344"/>
      <c r="D25" s="344"/>
      <c r="F25" s="656"/>
      <c r="G25" s="656"/>
      <c r="H25" s="656"/>
      <c r="I25" s="656"/>
      <c r="J25" s="656"/>
      <c r="K25" s="656"/>
      <c r="L25" s="656"/>
      <c r="M25" s="656"/>
      <c r="N25" s="656"/>
      <c r="O25" s="656"/>
      <c r="P25" s="656"/>
      <c r="Q25" s="656"/>
      <c r="AF25" s="608" t="s">
        <v>45</v>
      </c>
      <c r="AG25" s="608"/>
      <c r="AH25" s="608"/>
      <c r="AI25" s="608"/>
      <c r="AK25" s="444"/>
      <c r="AL25" s="444"/>
      <c r="AM25" s="444"/>
      <c r="AN25" s="444"/>
      <c r="AO25" s="444"/>
      <c r="AP25" s="444"/>
      <c r="AQ25" s="444"/>
      <c r="AR25" s="444"/>
      <c r="AS25" s="444"/>
      <c r="AT25" s="444"/>
    </row>
    <row r="26" spans="1:46" ht="5.45" customHeight="1" x14ac:dyDescent="0.2">
      <c r="A26" s="344"/>
      <c r="B26" s="344"/>
      <c r="C26" s="344"/>
      <c r="D26" s="344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AF26" s="608"/>
      <c r="AG26" s="608"/>
      <c r="AH26" s="608"/>
      <c r="AI26" s="608"/>
      <c r="AK26" s="279"/>
      <c r="AL26" s="279"/>
      <c r="AM26" s="279"/>
      <c r="AN26" s="279"/>
      <c r="AO26" s="279"/>
      <c r="AP26" s="279"/>
      <c r="AQ26" s="279"/>
      <c r="AR26" s="279"/>
      <c r="AS26" s="279"/>
      <c r="AT26" s="279"/>
    </row>
    <row r="27" spans="1:46" ht="5.45" customHeight="1" x14ac:dyDescent="0.2">
      <c r="A27" s="57"/>
      <c r="B27" s="57"/>
      <c r="C27" s="57"/>
      <c r="D27" s="57"/>
      <c r="F27" s="600"/>
      <c r="G27" s="600"/>
      <c r="H27" s="600"/>
      <c r="I27" s="600"/>
      <c r="J27" s="600"/>
      <c r="K27" s="600"/>
      <c r="L27" s="600"/>
      <c r="M27" s="600"/>
      <c r="N27" s="600"/>
      <c r="O27" s="600"/>
      <c r="P27" s="600"/>
      <c r="Q27" s="600"/>
      <c r="R27" s="600"/>
      <c r="S27" s="600"/>
      <c r="T27" s="600"/>
      <c r="U27" s="600"/>
      <c r="V27" s="600"/>
      <c r="W27" s="600"/>
      <c r="X27" s="600"/>
      <c r="Y27" s="600"/>
      <c r="Z27" s="600"/>
      <c r="AA27" s="600"/>
      <c r="AB27" s="600"/>
      <c r="AC27" s="600"/>
      <c r="AD27" s="600"/>
      <c r="AE27" s="600"/>
      <c r="AF27" s="600"/>
      <c r="AG27" s="600"/>
      <c r="AH27" s="600"/>
      <c r="AI27" s="600"/>
      <c r="AJ27" s="600"/>
      <c r="AK27" s="600"/>
      <c r="AL27" s="600"/>
      <c r="AM27" s="600"/>
      <c r="AN27" s="600"/>
      <c r="AO27" s="600"/>
      <c r="AP27" s="600"/>
      <c r="AQ27" s="600"/>
      <c r="AR27" s="600"/>
      <c r="AS27" s="600"/>
    </row>
    <row r="28" spans="1:46" ht="5.45" customHeight="1" x14ac:dyDescent="0.2">
      <c r="A28" s="344" t="s">
        <v>10</v>
      </c>
      <c r="B28" s="344"/>
      <c r="C28" s="344"/>
      <c r="D28" s="344"/>
      <c r="F28" s="600"/>
      <c r="G28" s="600"/>
      <c r="H28" s="600"/>
      <c r="I28" s="600"/>
      <c r="J28" s="600"/>
      <c r="K28" s="600"/>
      <c r="L28" s="600"/>
      <c r="M28" s="600"/>
      <c r="N28" s="600"/>
      <c r="O28" s="600"/>
      <c r="P28" s="600"/>
      <c r="Q28" s="600"/>
      <c r="R28" s="600"/>
      <c r="S28" s="600"/>
      <c r="T28" s="600"/>
      <c r="U28" s="600"/>
      <c r="V28" s="600"/>
      <c r="W28" s="600"/>
      <c r="X28" s="600"/>
      <c r="Y28" s="600"/>
      <c r="Z28" s="600"/>
      <c r="AA28" s="600"/>
      <c r="AB28" s="600"/>
      <c r="AC28" s="600"/>
      <c r="AD28" s="600"/>
      <c r="AE28" s="600"/>
      <c r="AF28" s="600"/>
      <c r="AG28" s="600"/>
      <c r="AH28" s="600"/>
      <c r="AI28" s="600"/>
      <c r="AJ28" s="600"/>
      <c r="AK28" s="600"/>
      <c r="AL28" s="600"/>
      <c r="AM28" s="600"/>
      <c r="AN28" s="600"/>
      <c r="AO28" s="600"/>
      <c r="AP28" s="600"/>
      <c r="AQ28" s="600"/>
      <c r="AR28" s="600"/>
      <c r="AS28" s="600"/>
    </row>
    <row r="29" spans="1:46" ht="5.45" customHeight="1" x14ac:dyDescent="0.2">
      <c r="A29" s="344"/>
      <c r="B29" s="344"/>
      <c r="C29" s="344"/>
      <c r="D29" s="344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</row>
    <row r="30" spans="1:46" ht="1.5" customHeight="1" x14ac:dyDescent="0.2"/>
    <row r="31" spans="1:46" ht="0.75" customHeight="1" x14ac:dyDescent="0.2">
      <c r="A31" s="78"/>
      <c r="B31" s="79"/>
      <c r="C31" s="79"/>
      <c r="D31" s="79"/>
      <c r="E31" s="79"/>
      <c r="F31" s="79"/>
      <c r="G31" s="79"/>
      <c r="H31" s="79"/>
      <c r="I31" s="79"/>
      <c r="J31" s="79"/>
      <c r="K31" s="75"/>
      <c r="L31" s="75"/>
      <c r="M31" s="75"/>
      <c r="N31" s="75"/>
      <c r="O31" s="80"/>
      <c r="P31" s="81"/>
      <c r="Q31" s="81"/>
      <c r="R31" s="81"/>
      <c r="S31" s="81"/>
      <c r="T31" s="81"/>
      <c r="U31" s="81"/>
      <c r="V31" s="81"/>
      <c r="W31" s="80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2"/>
    </row>
    <row r="32" spans="1:46" ht="8.25" customHeight="1" x14ac:dyDescent="0.2">
      <c r="A32" s="719" t="s">
        <v>198</v>
      </c>
      <c r="B32" s="719"/>
      <c r="C32" s="719"/>
      <c r="D32" s="719"/>
      <c r="E32" s="719"/>
      <c r="F32" s="719"/>
      <c r="G32" s="719"/>
      <c r="H32" s="719"/>
      <c r="I32" s="719"/>
      <c r="J32" s="280" t="s">
        <v>199</v>
      </c>
      <c r="K32" s="280"/>
      <c r="L32" s="280"/>
      <c r="M32" s="280"/>
      <c r="N32" s="280"/>
      <c r="O32" s="729" t="s">
        <v>200</v>
      </c>
      <c r="P32" s="292"/>
      <c r="Q32" s="292"/>
      <c r="R32" s="292"/>
      <c r="S32" s="292"/>
      <c r="T32" s="441"/>
      <c r="U32" s="441"/>
      <c r="V32" s="85"/>
      <c r="W32" s="729" t="s">
        <v>201</v>
      </c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85"/>
      <c r="AM32" s="220"/>
      <c r="AN32" s="85"/>
      <c r="AO32" s="85"/>
      <c r="AP32" s="85"/>
      <c r="AQ32" s="85"/>
      <c r="AR32" s="85"/>
      <c r="AS32" s="85"/>
      <c r="AT32" s="86"/>
    </row>
    <row r="33" spans="1:50" ht="5.85" customHeight="1" x14ac:dyDescent="0.2">
      <c r="A33" s="719"/>
      <c r="B33" s="719"/>
      <c r="C33" s="719"/>
      <c r="D33" s="719"/>
      <c r="E33" s="719"/>
      <c r="F33" s="719"/>
      <c r="G33" s="719"/>
      <c r="H33" s="719"/>
      <c r="I33" s="719"/>
      <c r="J33" s="280"/>
      <c r="K33" s="280"/>
      <c r="L33" s="280"/>
      <c r="M33" s="280"/>
      <c r="N33" s="280"/>
      <c r="O33" s="729"/>
      <c r="P33" s="292"/>
      <c r="Q33" s="292"/>
      <c r="R33" s="292"/>
      <c r="S33" s="292"/>
      <c r="T33" s="626"/>
      <c r="U33" s="626"/>
      <c r="V33" s="85"/>
      <c r="W33" s="729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85"/>
      <c r="AM33" s="88"/>
      <c r="AN33" s="85"/>
      <c r="AO33" s="85"/>
      <c r="AP33" s="85"/>
      <c r="AQ33" s="85"/>
      <c r="AR33" s="85"/>
      <c r="AS33" s="85"/>
      <c r="AT33" s="89"/>
    </row>
    <row r="34" spans="1:50" ht="2.25" customHeight="1" x14ac:dyDescent="0.2">
      <c r="A34" s="90"/>
      <c r="B34" s="76"/>
      <c r="C34" s="76"/>
      <c r="D34" s="76"/>
      <c r="E34" s="76"/>
      <c r="F34" s="76"/>
      <c r="G34" s="76"/>
      <c r="H34" s="76"/>
      <c r="I34" s="76"/>
      <c r="J34" s="76"/>
      <c r="K34" s="91"/>
      <c r="L34" s="91"/>
      <c r="M34" s="91"/>
      <c r="N34" s="91"/>
      <c r="O34" s="92"/>
      <c r="P34" s="87"/>
      <c r="Q34" s="87"/>
      <c r="R34" s="87"/>
      <c r="S34" s="87"/>
      <c r="T34" s="87"/>
      <c r="U34" s="87"/>
      <c r="V34" s="87"/>
      <c r="W34" s="92"/>
      <c r="X34" s="93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93"/>
      <c r="AJ34" s="93"/>
      <c r="AK34" s="87"/>
      <c r="AL34" s="87"/>
      <c r="AM34" s="87"/>
      <c r="AN34" s="87"/>
      <c r="AO34" s="87"/>
      <c r="AP34" s="87"/>
      <c r="AQ34" s="87"/>
      <c r="AR34" s="87"/>
      <c r="AS34" s="87"/>
      <c r="AT34" s="94"/>
    </row>
    <row r="35" spans="1:50" ht="2.25" customHeight="1" x14ac:dyDescent="0.2">
      <c r="A35" s="668" t="s">
        <v>202</v>
      </c>
      <c r="B35" s="668"/>
      <c r="C35" s="668"/>
      <c r="D35" s="669"/>
      <c r="E35" s="678" t="s">
        <v>203</v>
      </c>
      <c r="F35" s="679"/>
      <c r="G35" s="679"/>
      <c r="H35" s="680"/>
      <c r="I35" s="678" t="s">
        <v>204</v>
      </c>
      <c r="J35" s="679"/>
      <c r="K35" s="679"/>
      <c r="L35" s="679"/>
      <c r="M35" s="679"/>
      <c r="N35" s="680"/>
      <c r="O35" s="733" t="s">
        <v>205</v>
      </c>
      <c r="P35" s="734"/>
      <c r="Q35" s="734"/>
      <c r="R35" s="734"/>
      <c r="S35" s="734"/>
      <c r="T35" s="734"/>
      <c r="U35" s="734"/>
      <c r="V35" s="734"/>
      <c r="W35" s="733" t="s">
        <v>206</v>
      </c>
      <c r="X35" s="734"/>
      <c r="Y35" s="734"/>
      <c r="Z35" s="734"/>
      <c r="AA35" s="734"/>
      <c r="AB35" s="734"/>
      <c r="AC35" s="733" t="s">
        <v>207</v>
      </c>
      <c r="AD35" s="734"/>
      <c r="AE35" s="734"/>
      <c r="AF35" s="734"/>
      <c r="AG35" s="734"/>
      <c r="AH35" s="734"/>
      <c r="AI35" s="678" t="s">
        <v>208</v>
      </c>
      <c r="AJ35" s="679"/>
      <c r="AK35" s="679"/>
      <c r="AL35" s="679"/>
      <c r="AM35" s="679"/>
      <c r="AN35" s="680"/>
      <c r="AO35" s="678" t="s">
        <v>209</v>
      </c>
      <c r="AP35" s="679"/>
      <c r="AQ35" s="679"/>
      <c r="AR35" s="679"/>
      <c r="AS35" s="679"/>
      <c r="AT35" s="680"/>
    </row>
    <row r="36" spans="1:50" ht="3.75" customHeight="1" x14ac:dyDescent="0.2">
      <c r="A36" s="671"/>
      <c r="B36" s="671"/>
      <c r="C36" s="671"/>
      <c r="D36" s="672"/>
      <c r="E36" s="681"/>
      <c r="F36" s="682"/>
      <c r="G36" s="682"/>
      <c r="H36" s="683"/>
      <c r="I36" s="681"/>
      <c r="J36" s="682"/>
      <c r="K36" s="682"/>
      <c r="L36" s="682"/>
      <c r="M36" s="682"/>
      <c r="N36" s="683"/>
      <c r="O36" s="735"/>
      <c r="P36" s="735"/>
      <c r="Q36" s="735"/>
      <c r="R36" s="735"/>
      <c r="S36" s="735"/>
      <c r="T36" s="735"/>
      <c r="U36" s="735"/>
      <c r="V36" s="735"/>
      <c r="W36" s="735"/>
      <c r="X36" s="735"/>
      <c r="Y36" s="735"/>
      <c r="Z36" s="735"/>
      <c r="AA36" s="735"/>
      <c r="AB36" s="735"/>
      <c r="AC36" s="735"/>
      <c r="AD36" s="735"/>
      <c r="AE36" s="735"/>
      <c r="AF36" s="735"/>
      <c r="AG36" s="735"/>
      <c r="AH36" s="735"/>
      <c r="AI36" s="681"/>
      <c r="AJ36" s="682"/>
      <c r="AK36" s="682"/>
      <c r="AL36" s="682"/>
      <c r="AM36" s="682"/>
      <c r="AN36" s="683"/>
      <c r="AO36" s="681"/>
      <c r="AP36" s="682"/>
      <c r="AQ36" s="682"/>
      <c r="AR36" s="682"/>
      <c r="AS36" s="682"/>
      <c r="AT36" s="683"/>
    </row>
    <row r="37" spans="1:50" ht="5.85" customHeight="1" x14ac:dyDescent="0.2">
      <c r="A37" s="671"/>
      <c r="B37" s="671"/>
      <c r="C37" s="671"/>
      <c r="D37" s="672"/>
      <c r="E37" s="681"/>
      <c r="F37" s="682"/>
      <c r="G37" s="682"/>
      <c r="H37" s="683"/>
      <c r="I37" s="681"/>
      <c r="J37" s="682"/>
      <c r="K37" s="682"/>
      <c r="L37" s="682"/>
      <c r="M37" s="682"/>
      <c r="N37" s="683"/>
      <c r="O37" s="735"/>
      <c r="P37" s="735"/>
      <c r="Q37" s="735"/>
      <c r="R37" s="735"/>
      <c r="S37" s="735"/>
      <c r="T37" s="735"/>
      <c r="U37" s="735"/>
      <c r="V37" s="735"/>
      <c r="W37" s="735"/>
      <c r="X37" s="735"/>
      <c r="Y37" s="735"/>
      <c r="Z37" s="735"/>
      <c r="AA37" s="735"/>
      <c r="AB37" s="735"/>
      <c r="AC37" s="735"/>
      <c r="AD37" s="735"/>
      <c r="AE37" s="735"/>
      <c r="AF37" s="735"/>
      <c r="AG37" s="735"/>
      <c r="AH37" s="735"/>
      <c r="AI37" s="681"/>
      <c r="AJ37" s="682"/>
      <c r="AK37" s="682"/>
      <c r="AL37" s="682"/>
      <c r="AM37" s="682"/>
      <c r="AN37" s="683"/>
      <c r="AO37" s="681"/>
      <c r="AP37" s="682"/>
      <c r="AQ37" s="682"/>
      <c r="AR37" s="682"/>
      <c r="AS37" s="682"/>
      <c r="AT37" s="683"/>
    </row>
    <row r="38" spans="1:50" ht="6.6" customHeight="1" x14ac:dyDescent="0.2">
      <c r="A38" s="671"/>
      <c r="B38" s="671"/>
      <c r="C38" s="671"/>
      <c r="D38" s="672"/>
      <c r="E38" s="681"/>
      <c r="F38" s="682"/>
      <c r="G38" s="682"/>
      <c r="H38" s="683"/>
      <c r="I38" s="681"/>
      <c r="J38" s="682"/>
      <c r="K38" s="682"/>
      <c r="L38" s="682"/>
      <c r="M38" s="682"/>
      <c r="N38" s="683"/>
      <c r="O38" s="735"/>
      <c r="P38" s="735"/>
      <c r="Q38" s="735"/>
      <c r="R38" s="735"/>
      <c r="S38" s="735"/>
      <c r="T38" s="735"/>
      <c r="U38" s="735"/>
      <c r="V38" s="735"/>
      <c r="W38" s="735"/>
      <c r="X38" s="735"/>
      <c r="Y38" s="735"/>
      <c r="Z38" s="735"/>
      <c r="AA38" s="735"/>
      <c r="AB38" s="735"/>
      <c r="AC38" s="735"/>
      <c r="AD38" s="735"/>
      <c r="AE38" s="735"/>
      <c r="AF38" s="735"/>
      <c r="AG38" s="735"/>
      <c r="AH38" s="735"/>
      <c r="AI38" s="670"/>
      <c r="AJ38" s="671"/>
      <c r="AK38" s="671"/>
      <c r="AL38" s="671"/>
      <c r="AM38" s="671"/>
      <c r="AN38" s="672"/>
      <c r="AO38" s="670"/>
      <c r="AP38" s="671"/>
      <c r="AQ38" s="671"/>
      <c r="AR38" s="671"/>
      <c r="AS38" s="671"/>
      <c r="AT38" s="672"/>
      <c r="AX38" s="705"/>
    </row>
    <row r="39" spans="1:50" ht="6.6" customHeight="1" x14ac:dyDescent="0.2">
      <c r="A39" s="671"/>
      <c r="B39" s="671"/>
      <c r="C39" s="671"/>
      <c r="D39" s="672"/>
      <c r="E39" s="681"/>
      <c r="F39" s="682"/>
      <c r="G39" s="682"/>
      <c r="H39" s="683"/>
      <c r="I39" s="681"/>
      <c r="J39" s="682"/>
      <c r="K39" s="682"/>
      <c r="L39" s="682"/>
      <c r="M39" s="682"/>
      <c r="N39" s="683"/>
      <c r="O39" s="735"/>
      <c r="P39" s="735"/>
      <c r="Q39" s="735"/>
      <c r="R39" s="735"/>
      <c r="S39" s="735"/>
      <c r="T39" s="735"/>
      <c r="U39" s="735"/>
      <c r="V39" s="735"/>
      <c r="W39" s="735"/>
      <c r="X39" s="735"/>
      <c r="Y39" s="735"/>
      <c r="Z39" s="735"/>
      <c r="AA39" s="735"/>
      <c r="AB39" s="735"/>
      <c r="AC39" s="735"/>
      <c r="AD39" s="735"/>
      <c r="AE39" s="735"/>
      <c r="AF39" s="735"/>
      <c r="AG39" s="735"/>
      <c r="AH39" s="735"/>
      <c r="AI39" s="670"/>
      <c r="AJ39" s="671"/>
      <c r="AK39" s="671"/>
      <c r="AL39" s="671"/>
      <c r="AM39" s="671"/>
      <c r="AN39" s="672"/>
      <c r="AO39" s="670"/>
      <c r="AP39" s="671"/>
      <c r="AQ39" s="671"/>
      <c r="AR39" s="671"/>
      <c r="AS39" s="671"/>
      <c r="AT39" s="672"/>
      <c r="AX39" s="705"/>
    </row>
    <row r="40" spans="1:50" ht="6.6" customHeight="1" x14ac:dyDescent="0.2">
      <c r="A40" s="671"/>
      <c r="B40" s="671"/>
      <c r="C40" s="671"/>
      <c r="D40" s="672"/>
      <c r="E40" s="681"/>
      <c r="F40" s="682"/>
      <c r="G40" s="682"/>
      <c r="H40" s="683"/>
      <c r="I40" s="681"/>
      <c r="J40" s="682"/>
      <c r="K40" s="682"/>
      <c r="L40" s="682"/>
      <c r="M40" s="682"/>
      <c r="N40" s="683"/>
      <c r="O40" s="735"/>
      <c r="P40" s="735"/>
      <c r="Q40" s="735"/>
      <c r="R40" s="735"/>
      <c r="S40" s="735"/>
      <c r="T40" s="735"/>
      <c r="U40" s="735"/>
      <c r="V40" s="735"/>
      <c r="W40" s="735"/>
      <c r="X40" s="735"/>
      <c r="Y40" s="735"/>
      <c r="Z40" s="735"/>
      <c r="AA40" s="735"/>
      <c r="AB40" s="735"/>
      <c r="AC40" s="735"/>
      <c r="AD40" s="735"/>
      <c r="AE40" s="735"/>
      <c r="AF40" s="735"/>
      <c r="AG40" s="735"/>
      <c r="AH40" s="735"/>
      <c r="AI40" s="670"/>
      <c r="AJ40" s="671"/>
      <c r="AK40" s="671"/>
      <c r="AL40" s="671"/>
      <c r="AM40" s="671"/>
      <c r="AN40" s="672"/>
      <c r="AO40" s="670"/>
      <c r="AP40" s="671"/>
      <c r="AQ40" s="671"/>
      <c r="AR40" s="671"/>
      <c r="AS40" s="671"/>
      <c r="AT40" s="672"/>
      <c r="AX40" s="705"/>
    </row>
    <row r="41" spans="1:50" ht="6.6" customHeight="1" x14ac:dyDescent="0.2">
      <c r="A41" s="671"/>
      <c r="B41" s="671"/>
      <c r="C41" s="671"/>
      <c r="D41" s="672"/>
      <c r="E41" s="681"/>
      <c r="F41" s="682"/>
      <c r="G41" s="682"/>
      <c r="H41" s="683"/>
      <c r="I41" s="681"/>
      <c r="J41" s="682"/>
      <c r="K41" s="682"/>
      <c r="L41" s="682"/>
      <c r="M41" s="682"/>
      <c r="N41" s="683"/>
      <c r="O41" s="735"/>
      <c r="P41" s="735"/>
      <c r="Q41" s="735"/>
      <c r="R41" s="735"/>
      <c r="S41" s="735"/>
      <c r="T41" s="735"/>
      <c r="U41" s="735"/>
      <c r="V41" s="735"/>
      <c r="W41" s="735"/>
      <c r="X41" s="735"/>
      <c r="Y41" s="735"/>
      <c r="Z41" s="735"/>
      <c r="AA41" s="735"/>
      <c r="AB41" s="735"/>
      <c r="AC41" s="735"/>
      <c r="AD41" s="735"/>
      <c r="AE41" s="735"/>
      <c r="AF41" s="735"/>
      <c r="AG41" s="735"/>
      <c r="AH41" s="735"/>
      <c r="AI41" s="670"/>
      <c r="AJ41" s="671"/>
      <c r="AK41" s="671"/>
      <c r="AL41" s="671"/>
      <c r="AM41" s="671"/>
      <c r="AN41" s="672"/>
      <c r="AO41" s="670"/>
      <c r="AP41" s="671"/>
      <c r="AQ41" s="671"/>
      <c r="AR41" s="671"/>
      <c r="AS41" s="671"/>
      <c r="AT41" s="672"/>
      <c r="AX41" s="705"/>
    </row>
    <row r="42" spans="1:50" ht="1.5" customHeight="1" x14ac:dyDescent="0.2">
      <c r="A42" s="674"/>
      <c r="B42" s="674"/>
      <c r="C42" s="674"/>
      <c r="D42" s="675"/>
      <c r="E42" s="684"/>
      <c r="F42" s="685"/>
      <c r="G42" s="685"/>
      <c r="H42" s="686"/>
      <c r="I42" s="684"/>
      <c r="J42" s="685"/>
      <c r="K42" s="685"/>
      <c r="L42" s="685"/>
      <c r="M42" s="685"/>
      <c r="N42" s="686"/>
      <c r="O42" s="736"/>
      <c r="P42" s="736"/>
      <c r="Q42" s="736"/>
      <c r="R42" s="736"/>
      <c r="S42" s="736"/>
      <c r="T42" s="736"/>
      <c r="U42" s="736"/>
      <c r="V42" s="736"/>
      <c r="W42" s="736"/>
      <c r="X42" s="736"/>
      <c r="Y42" s="736"/>
      <c r="Z42" s="736"/>
      <c r="AA42" s="736"/>
      <c r="AB42" s="736"/>
      <c r="AC42" s="736"/>
      <c r="AD42" s="736"/>
      <c r="AE42" s="736"/>
      <c r="AF42" s="736"/>
      <c r="AG42" s="736"/>
      <c r="AH42" s="736"/>
      <c r="AI42" s="673"/>
      <c r="AJ42" s="674"/>
      <c r="AK42" s="674"/>
      <c r="AL42" s="674"/>
      <c r="AM42" s="674"/>
      <c r="AN42" s="675"/>
      <c r="AO42" s="673"/>
      <c r="AP42" s="674"/>
      <c r="AQ42" s="674"/>
      <c r="AR42" s="674"/>
      <c r="AS42" s="674"/>
      <c r="AT42" s="675"/>
    </row>
    <row r="43" spans="1:50" ht="3" customHeight="1" x14ac:dyDescent="0.2">
      <c r="A43" s="687"/>
      <c r="B43" s="688"/>
      <c r="C43" s="688"/>
      <c r="D43" s="689"/>
      <c r="E43" s="667" t="s">
        <v>210</v>
      </c>
      <c r="F43" s="668"/>
      <c r="G43" s="668"/>
      <c r="H43" s="669"/>
      <c r="I43" s="81"/>
      <c r="J43" s="633"/>
      <c r="K43" s="633"/>
      <c r="L43" s="633"/>
      <c r="M43" s="633"/>
      <c r="N43" s="95"/>
      <c r="O43" s="96"/>
      <c r="P43" s="96"/>
      <c r="Q43" s="633"/>
      <c r="R43" s="633"/>
      <c r="S43" s="633"/>
      <c r="T43" s="633"/>
      <c r="U43" s="96"/>
      <c r="V43" s="95"/>
      <c r="W43" s="96"/>
      <c r="X43" s="633"/>
      <c r="Y43" s="633"/>
      <c r="Z43" s="633"/>
      <c r="AA43" s="633"/>
      <c r="AB43" s="97"/>
      <c r="AC43" s="667" t="str">
        <f>IF(ISNUMBER(Q43),ROUND(Q43-X43,1),"")</f>
        <v/>
      </c>
      <c r="AD43" s="668"/>
      <c r="AE43" s="668"/>
      <c r="AF43" s="668"/>
      <c r="AG43" s="668"/>
      <c r="AH43" s="669"/>
      <c r="AI43" s="667" t="str">
        <f>IF(AC43&lt;&gt;"",IF(AM32=1,ROUND(AC43/50*100,2),ROUND(AC43/100*100,2)),"")</f>
        <v/>
      </c>
      <c r="AJ43" s="668"/>
      <c r="AK43" s="668"/>
      <c r="AL43" s="668"/>
      <c r="AM43" s="668"/>
      <c r="AN43" s="669"/>
      <c r="AO43" s="667" t="str">
        <f>IF(ISNUMBER(Q43),ROUND(ROUND(0.0172834*EXP(-0.0117685*J43),5)*SQRT(ROUND(16.294-0.163*Q43,1)/60),4),"")</f>
        <v/>
      </c>
      <c r="AP43" s="668"/>
      <c r="AQ43" s="668"/>
      <c r="AR43" s="668"/>
      <c r="AS43" s="668"/>
      <c r="AT43" s="669"/>
    </row>
    <row r="44" spans="1:50" ht="6.75" customHeight="1" x14ac:dyDescent="0.2">
      <c r="A44" s="690"/>
      <c r="B44" s="691"/>
      <c r="C44" s="691"/>
      <c r="D44" s="692"/>
      <c r="E44" s="670"/>
      <c r="F44" s="671"/>
      <c r="G44" s="671"/>
      <c r="H44" s="672"/>
      <c r="I44" s="85"/>
      <c r="J44" s="441"/>
      <c r="K44" s="441"/>
      <c r="L44" s="441"/>
      <c r="M44" s="441"/>
      <c r="N44" s="98"/>
      <c r="O44" s="99"/>
      <c r="P44" s="99"/>
      <c r="Q44" s="441"/>
      <c r="R44" s="441"/>
      <c r="S44" s="441"/>
      <c r="T44" s="441"/>
      <c r="U44" s="99"/>
      <c r="V44" s="98"/>
      <c r="W44" s="99"/>
      <c r="X44" s="441"/>
      <c r="Y44" s="441"/>
      <c r="Z44" s="441"/>
      <c r="AA44" s="441"/>
      <c r="AB44" s="100"/>
      <c r="AC44" s="670"/>
      <c r="AD44" s="671"/>
      <c r="AE44" s="671"/>
      <c r="AF44" s="671"/>
      <c r="AG44" s="671"/>
      <c r="AH44" s="672"/>
      <c r="AI44" s="670"/>
      <c r="AJ44" s="671"/>
      <c r="AK44" s="671"/>
      <c r="AL44" s="671"/>
      <c r="AM44" s="671"/>
      <c r="AN44" s="672"/>
      <c r="AO44" s="670"/>
      <c r="AP44" s="671"/>
      <c r="AQ44" s="671"/>
      <c r="AR44" s="671"/>
      <c r="AS44" s="671"/>
      <c r="AT44" s="672"/>
    </row>
    <row r="45" spans="1:50" ht="3.75" customHeight="1" x14ac:dyDescent="0.2">
      <c r="A45" s="690"/>
      <c r="B45" s="691"/>
      <c r="C45" s="691"/>
      <c r="D45" s="692"/>
      <c r="E45" s="670"/>
      <c r="F45" s="671"/>
      <c r="G45" s="671"/>
      <c r="H45" s="672"/>
      <c r="I45" s="85"/>
      <c r="J45" s="88"/>
      <c r="K45" s="88"/>
      <c r="L45" s="101"/>
      <c r="M45" s="101"/>
      <c r="N45" s="98"/>
      <c r="O45" s="99"/>
      <c r="P45" s="99"/>
      <c r="Q45" s="88"/>
      <c r="R45" s="88"/>
      <c r="S45" s="101"/>
      <c r="T45" s="101"/>
      <c r="U45" s="99"/>
      <c r="V45" s="98"/>
      <c r="W45" s="99"/>
      <c r="X45" s="88"/>
      <c r="Y45" s="88"/>
      <c r="Z45" s="101"/>
      <c r="AA45" s="101"/>
      <c r="AB45" s="100"/>
      <c r="AC45" s="670"/>
      <c r="AD45" s="671"/>
      <c r="AE45" s="671"/>
      <c r="AF45" s="671"/>
      <c r="AG45" s="671"/>
      <c r="AH45" s="672"/>
      <c r="AI45" s="670"/>
      <c r="AJ45" s="671"/>
      <c r="AK45" s="671"/>
      <c r="AL45" s="671"/>
      <c r="AM45" s="671"/>
      <c r="AN45" s="672"/>
      <c r="AO45" s="670"/>
      <c r="AP45" s="671"/>
      <c r="AQ45" s="671"/>
      <c r="AR45" s="671"/>
      <c r="AS45" s="671"/>
      <c r="AT45" s="672"/>
      <c r="AX45" s="705"/>
    </row>
    <row r="46" spans="1:50" ht="3" customHeight="1" x14ac:dyDescent="0.2">
      <c r="A46" s="693"/>
      <c r="B46" s="694"/>
      <c r="C46" s="694"/>
      <c r="D46" s="695"/>
      <c r="E46" s="673"/>
      <c r="F46" s="674"/>
      <c r="G46" s="674"/>
      <c r="H46" s="675"/>
      <c r="I46" s="87"/>
      <c r="J46" s="87"/>
      <c r="K46" s="87"/>
      <c r="L46" s="102"/>
      <c r="M46" s="102"/>
      <c r="N46" s="103"/>
      <c r="O46" s="102"/>
      <c r="P46" s="102"/>
      <c r="Q46" s="102"/>
      <c r="R46" s="102"/>
      <c r="S46" s="102"/>
      <c r="T46" s="102"/>
      <c r="U46" s="102"/>
      <c r="V46" s="103"/>
      <c r="W46" s="102"/>
      <c r="X46" s="87"/>
      <c r="Y46" s="87"/>
      <c r="Z46" s="87"/>
      <c r="AA46" s="104"/>
      <c r="AB46" s="105"/>
      <c r="AC46" s="673"/>
      <c r="AD46" s="674"/>
      <c r="AE46" s="674"/>
      <c r="AF46" s="674"/>
      <c r="AG46" s="674"/>
      <c r="AH46" s="675"/>
      <c r="AI46" s="673"/>
      <c r="AJ46" s="674"/>
      <c r="AK46" s="674"/>
      <c r="AL46" s="674"/>
      <c r="AM46" s="674"/>
      <c r="AN46" s="675"/>
      <c r="AO46" s="673"/>
      <c r="AP46" s="674"/>
      <c r="AQ46" s="674"/>
      <c r="AR46" s="674"/>
      <c r="AS46" s="674"/>
      <c r="AT46" s="675"/>
      <c r="AX46" s="705"/>
    </row>
    <row r="47" spans="1:50" ht="2.25" customHeight="1" x14ac:dyDescent="0.2">
      <c r="A47" s="687"/>
      <c r="B47" s="688"/>
      <c r="C47" s="688"/>
      <c r="D47" s="689"/>
      <c r="E47" s="667" t="s">
        <v>211</v>
      </c>
      <c r="F47" s="668"/>
      <c r="G47" s="668"/>
      <c r="H47" s="669"/>
      <c r="I47" s="81"/>
      <c r="J47" s="633"/>
      <c r="K47" s="633"/>
      <c r="L47" s="633"/>
      <c r="M47" s="633"/>
      <c r="N47" s="95"/>
      <c r="O47" s="96"/>
      <c r="P47" s="96"/>
      <c r="Q47" s="633"/>
      <c r="R47" s="633"/>
      <c r="S47" s="633"/>
      <c r="T47" s="633"/>
      <c r="U47" s="96"/>
      <c r="V47" s="95"/>
      <c r="W47" s="96"/>
      <c r="X47" s="633"/>
      <c r="Y47" s="633"/>
      <c r="Z47" s="633"/>
      <c r="AA47" s="633"/>
      <c r="AB47" s="97"/>
      <c r="AC47" s="667" t="str">
        <f>IF(ISNUMBER(Q47),ROUND(Q47-X47,1),"")</f>
        <v/>
      </c>
      <c r="AD47" s="668"/>
      <c r="AE47" s="668"/>
      <c r="AF47" s="668"/>
      <c r="AG47" s="668"/>
      <c r="AH47" s="669"/>
      <c r="AI47" s="667" t="str">
        <f>IF(AC47&lt;&gt;"",IF(AM32=1,ROUND(AC47/50*100,2),ROUND(AC47/100*100,2)),"")</f>
        <v/>
      </c>
      <c r="AJ47" s="668"/>
      <c r="AK47" s="668"/>
      <c r="AL47" s="668"/>
      <c r="AM47" s="668"/>
      <c r="AN47" s="669"/>
      <c r="AO47" s="667" t="str">
        <f>IF(ISNUMBER(Q47),ROUND(ROUND(0.0172834*EXP(-0.0117685*J47),5)*SQRT(ROUND(16.294-0.163*Q47,1)/120),4),"")</f>
        <v/>
      </c>
      <c r="AP47" s="668"/>
      <c r="AQ47" s="668"/>
      <c r="AR47" s="668"/>
      <c r="AS47" s="668"/>
      <c r="AT47" s="669"/>
      <c r="AX47" s="705"/>
    </row>
    <row r="48" spans="1:50" ht="7.5" customHeight="1" x14ac:dyDescent="0.2">
      <c r="A48" s="690"/>
      <c r="B48" s="691"/>
      <c r="C48" s="691"/>
      <c r="D48" s="692"/>
      <c r="E48" s="670"/>
      <c r="F48" s="671"/>
      <c r="G48" s="671"/>
      <c r="H48" s="672"/>
      <c r="I48" s="85"/>
      <c r="J48" s="441"/>
      <c r="K48" s="441"/>
      <c r="L48" s="441"/>
      <c r="M48" s="441"/>
      <c r="N48" s="98"/>
      <c r="O48" s="99"/>
      <c r="P48" s="99"/>
      <c r="Q48" s="441"/>
      <c r="R48" s="441"/>
      <c r="S48" s="441"/>
      <c r="T48" s="441"/>
      <c r="U48" s="99"/>
      <c r="V48" s="98"/>
      <c r="W48" s="99"/>
      <c r="X48" s="441"/>
      <c r="Y48" s="441"/>
      <c r="Z48" s="441"/>
      <c r="AA48" s="441"/>
      <c r="AB48" s="100"/>
      <c r="AC48" s="670"/>
      <c r="AD48" s="671"/>
      <c r="AE48" s="671"/>
      <c r="AF48" s="671"/>
      <c r="AG48" s="671"/>
      <c r="AH48" s="672"/>
      <c r="AI48" s="670"/>
      <c r="AJ48" s="671"/>
      <c r="AK48" s="671"/>
      <c r="AL48" s="671"/>
      <c r="AM48" s="671"/>
      <c r="AN48" s="672"/>
      <c r="AO48" s="670"/>
      <c r="AP48" s="671"/>
      <c r="AQ48" s="671"/>
      <c r="AR48" s="671"/>
      <c r="AS48" s="671"/>
      <c r="AT48" s="672"/>
      <c r="AX48" s="705"/>
    </row>
    <row r="49" spans="1:53" ht="3.75" customHeight="1" x14ac:dyDescent="0.2">
      <c r="A49" s="690"/>
      <c r="B49" s="691"/>
      <c r="C49" s="691"/>
      <c r="D49" s="692"/>
      <c r="E49" s="670"/>
      <c r="F49" s="671"/>
      <c r="G49" s="671"/>
      <c r="H49" s="672"/>
      <c r="I49" s="85"/>
      <c r="J49" s="88"/>
      <c r="K49" s="88"/>
      <c r="L49" s="101"/>
      <c r="M49" s="101"/>
      <c r="N49" s="98"/>
      <c r="O49" s="99"/>
      <c r="P49" s="99"/>
      <c r="Q49" s="88"/>
      <c r="R49" s="88"/>
      <c r="S49" s="101"/>
      <c r="T49" s="101"/>
      <c r="U49" s="99"/>
      <c r="V49" s="98"/>
      <c r="W49" s="99"/>
      <c r="X49" s="88"/>
      <c r="Y49" s="88"/>
      <c r="Z49" s="101"/>
      <c r="AA49" s="101"/>
      <c r="AB49" s="100"/>
      <c r="AC49" s="670"/>
      <c r="AD49" s="671"/>
      <c r="AE49" s="671"/>
      <c r="AF49" s="671"/>
      <c r="AG49" s="671"/>
      <c r="AH49" s="672"/>
      <c r="AI49" s="670"/>
      <c r="AJ49" s="671"/>
      <c r="AK49" s="671"/>
      <c r="AL49" s="671"/>
      <c r="AM49" s="671"/>
      <c r="AN49" s="672"/>
      <c r="AO49" s="670"/>
      <c r="AP49" s="671"/>
      <c r="AQ49" s="671"/>
      <c r="AR49" s="671"/>
      <c r="AS49" s="671"/>
      <c r="AT49" s="672"/>
      <c r="AX49" s="705"/>
    </row>
    <row r="50" spans="1:53" ht="2.25" customHeight="1" x14ac:dyDescent="0.2">
      <c r="A50" s="693"/>
      <c r="B50" s="694"/>
      <c r="C50" s="694"/>
      <c r="D50" s="695"/>
      <c r="E50" s="673"/>
      <c r="F50" s="674"/>
      <c r="G50" s="674"/>
      <c r="H50" s="675"/>
      <c r="I50" s="87"/>
      <c r="J50" s="87"/>
      <c r="K50" s="87"/>
      <c r="L50" s="102"/>
      <c r="M50" s="102"/>
      <c r="N50" s="103"/>
      <c r="O50" s="102"/>
      <c r="P50" s="102"/>
      <c r="Q50" s="102"/>
      <c r="R50" s="102"/>
      <c r="S50" s="102"/>
      <c r="T50" s="102"/>
      <c r="U50" s="102"/>
      <c r="V50" s="103"/>
      <c r="W50" s="102"/>
      <c r="X50" s="87"/>
      <c r="Y50" s="87"/>
      <c r="Z50" s="87"/>
      <c r="AA50" s="104"/>
      <c r="AB50" s="105"/>
      <c r="AC50" s="673"/>
      <c r="AD50" s="674"/>
      <c r="AE50" s="674"/>
      <c r="AF50" s="674"/>
      <c r="AG50" s="674"/>
      <c r="AH50" s="675"/>
      <c r="AI50" s="673"/>
      <c r="AJ50" s="674"/>
      <c r="AK50" s="674"/>
      <c r="AL50" s="674"/>
      <c r="AM50" s="674"/>
      <c r="AN50" s="675"/>
      <c r="AO50" s="673"/>
      <c r="AP50" s="674"/>
      <c r="AQ50" s="674"/>
      <c r="AR50" s="674"/>
      <c r="AS50" s="674"/>
      <c r="AT50" s="675"/>
    </row>
    <row r="51" spans="1:53" ht="3" customHeight="1" thickBot="1" x14ac:dyDescent="0.25">
      <c r="A51" s="106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85"/>
      <c r="Y51" s="85"/>
      <c r="Z51" s="85"/>
      <c r="AA51" s="85"/>
      <c r="AB51" s="83"/>
      <c r="AC51" s="83"/>
      <c r="AD51" s="85"/>
      <c r="AE51" s="85"/>
      <c r="AF51" s="85"/>
      <c r="AG51" s="85"/>
      <c r="AH51" s="85"/>
      <c r="AI51" s="107" t="str">
        <f>AI43</f>
        <v/>
      </c>
      <c r="AJ51" s="85" t="str">
        <f>AI47</f>
        <v/>
      </c>
      <c r="AK51" s="85"/>
      <c r="AL51" s="85"/>
      <c r="AM51" s="85"/>
      <c r="AN51" s="85"/>
      <c r="AO51" s="85" t="str">
        <f>AO43</f>
        <v/>
      </c>
      <c r="AP51" s="85" t="str">
        <f>AO47</f>
        <v/>
      </c>
      <c r="AQ51" s="85"/>
      <c r="AR51" s="85"/>
      <c r="AS51" s="85"/>
      <c r="AT51" s="107"/>
    </row>
    <row r="52" spans="1:53" ht="6.6" customHeight="1" thickTop="1" x14ac:dyDescent="0.2">
      <c r="A52" s="108"/>
      <c r="B52" s="649" t="s">
        <v>193</v>
      </c>
      <c r="C52" s="649"/>
      <c r="D52" s="649"/>
      <c r="E52" s="649"/>
      <c r="F52" s="649"/>
      <c r="G52" s="649"/>
      <c r="H52" s="649"/>
      <c r="I52" s="649"/>
      <c r="J52" s="649"/>
      <c r="K52" s="109"/>
      <c r="L52" s="110"/>
      <c r="M52" s="110"/>
      <c r="N52" s="110"/>
      <c r="O52" s="111"/>
      <c r="P52" s="660" t="s">
        <v>213</v>
      </c>
      <c r="Q52" s="661"/>
      <c r="R52" s="661"/>
      <c r="S52" s="661"/>
      <c r="T52" s="110"/>
      <c r="U52" s="110"/>
      <c r="V52" s="661" t="s">
        <v>226</v>
      </c>
      <c r="W52" s="661"/>
      <c r="X52" s="661"/>
      <c r="Y52" s="661"/>
      <c r="Z52" s="661"/>
      <c r="AA52" s="661"/>
      <c r="AB52" s="661"/>
      <c r="AC52" s="664" t="s">
        <v>69</v>
      </c>
      <c r="AD52" s="664"/>
      <c r="AE52" s="664"/>
      <c r="AF52" s="664"/>
      <c r="AG52" s="664"/>
      <c r="AH52" s="665"/>
      <c r="AI52" s="731" t="s">
        <v>199</v>
      </c>
      <c r="AJ52" s="664"/>
      <c r="AK52" s="664"/>
      <c r="AL52" s="664"/>
      <c r="AM52" s="664"/>
      <c r="AN52" s="664"/>
      <c r="AO52" s="664"/>
      <c r="AP52" s="664"/>
      <c r="AQ52" s="664"/>
      <c r="AR52" s="664"/>
      <c r="AS52" s="664"/>
      <c r="AT52" s="665"/>
    </row>
    <row r="53" spans="1:53" ht="6.6" customHeight="1" x14ac:dyDescent="0.2">
      <c r="A53" s="112"/>
      <c r="B53" s="650"/>
      <c r="C53" s="650"/>
      <c r="D53" s="650"/>
      <c r="E53" s="650"/>
      <c r="F53" s="650"/>
      <c r="G53" s="650"/>
      <c r="H53" s="650"/>
      <c r="I53" s="650"/>
      <c r="J53" s="650"/>
      <c r="K53" s="85"/>
      <c r="L53" s="99"/>
      <c r="M53" s="99"/>
      <c r="N53" s="99"/>
      <c r="O53" s="114"/>
      <c r="P53" s="662"/>
      <c r="Q53" s="663"/>
      <c r="R53" s="663"/>
      <c r="S53" s="663"/>
      <c r="T53" s="99"/>
      <c r="U53" s="99"/>
      <c r="V53" s="663"/>
      <c r="W53" s="663"/>
      <c r="X53" s="663"/>
      <c r="Y53" s="663"/>
      <c r="Z53" s="663"/>
      <c r="AA53" s="663"/>
      <c r="AB53" s="663"/>
      <c r="AC53" s="292"/>
      <c r="AD53" s="292"/>
      <c r="AE53" s="292"/>
      <c r="AF53" s="292"/>
      <c r="AG53" s="292"/>
      <c r="AH53" s="666"/>
      <c r="AI53" s="73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666"/>
    </row>
    <row r="54" spans="1:53" ht="3" customHeight="1" x14ac:dyDescent="0.2">
      <c r="A54" s="112"/>
      <c r="B54" s="280" t="s">
        <v>194</v>
      </c>
      <c r="C54" s="280"/>
      <c r="D54" s="280"/>
      <c r="E54" s="280"/>
      <c r="F54" s="280"/>
      <c r="G54" s="280"/>
      <c r="H54" s="280"/>
      <c r="I54" s="85"/>
      <c r="J54" s="85"/>
      <c r="K54" s="85"/>
      <c r="L54" s="99"/>
      <c r="M54" s="99"/>
      <c r="N54" s="99"/>
      <c r="O54" s="114"/>
      <c r="P54" s="605"/>
      <c r="Q54" s="606"/>
      <c r="R54" s="606"/>
      <c r="S54" s="606"/>
      <c r="T54" s="606"/>
      <c r="U54" s="606"/>
      <c r="V54" s="606"/>
      <c r="W54" s="606" t="s">
        <v>227</v>
      </c>
      <c r="X54" s="606"/>
      <c r="Y54" s="107"/>
      <c r="Z54" s="107"/>
      <c r="AA54" s="107"/>
      <c r="AB54" s="107"/>
      <c r="AC54" s="107"/>
      <c r="AD54" s="107"/>
      <c r="AE54" s="107"/>
      <c r="AF54" s="107"/>
      <c r="AG54" s="107"/>
      <c r="AH54" s="115"/>
      <c r="AP54" s="107"/>
      <c r="AQ54" s="107"/>
      <c r="AR54" s="107"/>
      <c r="AS54" s="107"/>
      <c r="AT54" s="115"/>
    </row>
    <row r="55" spans="1:53" ht="6" customHeight="1" x14ac:dyDescent="0.2">
      <c r="A55" s="112"/>
      <c r="B55" s="280"/>
      <c r="C55" s="280"/>
      <c r="D55" s="280"/>
      <c r="E55" s="280"/>
      <c r="F55" s="280"/>
      <c r="G55" s="280"/>
      <c r="H55" s="280"/>
      <c r="I55" s="85"/>
      <c r="J55" s="648"/>
      <c r="K55" s="648"/>
      <c r="L55" s="648"/>
      <c r="M55" s="648"/>
      <c r="N55" s="648"/>
      <c r="O55" s="114"/>
      <c r="P55" s="605"/>
      <c r="Q55" s="606"/>
      <c r="R55" s="606"/>
      <c r="S55" s="606"/>
      <c r="T55" s="606"/>
      <c r="U55" s="606"/>
      <c r="V55" s="606"/>
      <c r="W55" s="606"/>
      <c r="X55" s="606"/>
      <c r="Y55" s="85"/>
      <c r="Z55" s="85"/>
      <c r="AA55" s="85"/>
      <c r="AB55" s="85"/>
      <c r="AC55" s="85"/>
      <c r="AD55" s="85"/>
      <c r="AE55" s="85"/>
      <c r="AF55" s="85"/>
      <c r="AG55" s="85"/>
      <c r="AH55" s="116"/>
      <c r="AI55" s="282" t="s">
        <v>228</v>
      </c>
      <c r="AJ55" s="280"/>
      <c r="AK55" s="280"/>
      <c r="AL55" s="280"/>
      <c r="AM55" s="280"/>
      <c r="AN55" s="280"/>
      <c r="AO55" s="280"/>
      <c r="AP55" s="676" t="str">
        <f>IF(AC56&gt;0,ROUND(W59/AC56*100,0),"")</f>
        <v/>
      </c>
      <c r="AQ55" s="676"/>
      <c r="AR55" s="676"/>
      <c r="AS55" s="676"/>
      <c r="AT55" s="117" t="e">
        <f>ROUND((AC56-SUM(W59,W62,W65,W68,IF(J62&lt;&gt;"", 0, W71)))/AC56,2)</f>
        <v>#DIV/0!</v>
      </c>
    </row>
    <row r="56" spans="1:53" ht="6.6" customHeight="1" x14ac:dyDescent="0.2">
      <c r="A56" s="112"/>
      <c r="B56" s="280" t="s">
        <v>195</v>
      </c>
      <c r="C56" s="280"/>
      <c r="D56" s="280"/>
      <c r="E56" s="280"/>
      <c r="F56" s="280"/>
      <c r="G56" s="280"/>
      <c r="H56" s="280"/>
      <c r="I56" s="85"/>
      <c r="J56" s="648"/>
      <c r="K56" s="648"/>
      <c r="L56" s="648"/>
      <c r="M56" s="648"/>
      <c r="N56" s="648"/>
      <c r="O56" s="114"/>
      <c r="W56" s="730"/>
      <c r="X56" s="730"/>
      <c r="Y56" s="730"/>
      <c r="Z56" s="730"/>
      <c r="AA56" s="730"/>
      <c r="AC56" s="184">
        <f>IF(W56&gt;0,W56,IF(AM32=1,50, IF(AM32=2,100,0)))</f>
        <v>0</v>
      </c>
      <c r="AE56" s="85"/>
      <c r="AF56" s="85"/>
      <c r="AG56" s="85"/>
      <c r="AH56" s="116"/>
      <c r="AI56" s="282"/>
      <c r="AJ56" s="280"/>
      <c r="AK56" s="280"/>
      <c r="AL56" s="280"/>
      <c r="AM56" s="280"/>
      <c r="AN56" s="280"/>
      <c r="AO56" s="280"/>
      <c r="AP56" s="677"/>
      <c r="AQ56" s="677"/>
      <c r="AR56" s="677"/>
      <c r="AS56" s="677"/>
      <c r="AT56" s="115"/>
    </row>
    <row r="57" spans="1:53" ht="6.6" customHeight="1" x14ac:dyDescent="0.2">
      <c r="A57" s="112"/>
      <c r="B57" s="280"/>
      <c r="C57" s="280"/>
      <c r="D57" s="280"/>
      <c r="E57" s="280"/>
      <c r="F57" s="280"/>
      <c r="G57" s="280"/>
      <c r="H57" s="280"/>
      <c r="I57" s="85"/>
      <c r="J57" s="118"/>
      <c r="K57" s="118"/>
      <c r="L57" s="118"/>
      <c r="M57" s="118"/>
      <c r="N57" s="118"/>
      <c r="O57" s="114"/>
      <c r="P57" s="605" t="s">
        <v>214</v>
      </c>
      <c r="Q57" s="606"/>
      <c r="R57" s="606"/>
      <c r="S57" s="606"/>
      <c r="T57" s="606"/>
      <c r="U57" s="606"/>
      <c r="V57" s="606"/>
      <c r="W57" s="730"/>
      <c r="X57" s="730"/>
      <c r="Y57" s="730"/>
      <c r="Z57" s="730"/>
      <c r="AA57" s="730"/>
      <c r="AE57" s="85"/>
      <c r="AF57" s="85"/>
      <c r="AG57" s="85"/>
      <c r="AH57" s="116"/>
      <c r="AI57" s="282" t="s">
        <v>229</v>
      </c>
      <c r="AJ57" s="280"/>
      <c r="AK57" s="280"/>
      <c r="AL57" s="280"/>
      <c r="AM57" s="280"/>
      <c r="AN57" s="280"/>
      <c r="AO57" s="280"/>
      <c r="AP57" s="676" t="str">
        <f>IF(AC56&gt;0,ROUND(W62/AC56*100,0),"")</f>
        <v/>
      </c>
      <c r="AQ57" s="676"/>
      <c r="AR57" s="676"/>
      <c r="AS57" s="676"/>
      <c r="AT57" s="115"/>
    </row>
    <row r="58" spans="1:53" ht="6.6" customHeight="1" x14ac:dyDescent="0.2">
      <c r="A58" s="112"/>
      <c r="B58" s="280" t="s">
        <v>54</v>
      </c>
      <c r="C58" s="280"/>
      <c r="D58" s="280"/>
      <c r="E58" s="441"/>
      <c r="F58" s="441"/>
      <c r="G58" s="441"/>
      <c r="H58" s="85"/>
      <c r="I58" s="85"/>
      <c r="J58" s="106"/>
      <c r="K58" s="106"/>
      <c r="L58" s="106"/>
      <c r="M58" s="106"/>
      <c r="N58" s="106"/>
      <c r="O58" s="114"/>
      <c r="P58" s="605"/>
      <c r="Q58" s="606"/>
      <c r="R58" s="606"/>
      <c r="S58" s="606"/>
      <c r="T58" s="606"/>
      <c r="U58" s="606"/>
      <c r="V58" s="606"/>
      <c r="W58" s="61"/>
      <c r="X58" s="61"/>
      <c r="Y58" s="77"/>
      <c r="Z58" s="61"/>
      <c r="AA58" s="61"/>
      <c r="AE58" s="85"/>
      <c r="AF58" s="85"/>
      <c r="AG58" s="85"/>
      <c r="AH58" s="116"/>
      <c r="AI58" s="282"/>
      <c r="AJ58" s="280"/>
      <c r="AK58" s="280"/>
      <c r="AL58" s="280"/>
      <c r="AM58" s="280"/>
      <c r="AN58" s="280"/>
      <c r="AO58" s="280"/>
      <c r="AP58" s="677"/>
      <c r="AQ58" s="677"/>
      <c r="AR58" s="677"/>
      <c r="AS58" s="677"/>
      <c r="AT58" s="115"/>
    </row>
    <row r="59" spans="1:53" ht="6.6" customHeight="1" x14ac:dyDescent="0.2">
      <c r="A59" s="112"/>
      <c r="B59" s="280"/>
      <c r="C59" s="280"/>
      <c r="D59" s="280"/>
      <c r="E59" s="626"/>
      <c r="F59" s="626"/>
      <c r="G59" s="626"/>
      <c r="H59" s="85"/>
      <c r="I59" s="85"/>
      <c r="J59" s="648"/>
      <c r="K59" s="648"/>
      <c r="L59" s="648"/>
      <c r="M59" s="648"/>
      <c r="N59" s="106"/>
      <c r="O59" s="114"/>
      <c r="P59" s="119"/>
      <c r="Q59" s="99"/>
      <c r="R59" s="99"/>
      <c r="S59" s="99"/>
      <c r="T59" s="99"/>
      <c r="U59" s="99"/>
      <c r="V59" s="99"/>
      <c r="W59" s="633"/>
      <c r="X59" s="633"/>
      <c r="Y59" s="633"/>
      <c r="Z59" s="633"/>
      <c r="AA59" s="633"/>
      <c r="AE59" s="85"/>
      <c r="AF59" s="85"/>
      <c r="AG59" s="85"/>
      <c r="AH59" s="116"/>
      <c r="AI59" s="282" t="s">
        <v>230</v>
      </c>
      <c r="AJ59" s="280"/>
      <c r="AK59" s="280"/>
      <c r="AL59" s="280"/>
      <c r="AM59" s="280"/>
      <c r="AN59" s="280"/>
      <c r="AO59" s="280"/>
      <c r="AP59" s="676" t="str">
        <f>IF(AC56&gt;0,ROUND(W65/AC56*100,0),"")</f>
        <v/>
      </c>
      <c r="AQ59" s="676"/>
      <c r="AR59" s="676"/>
      <c r="AS59" s="676"/>
      <c r="AT59" s="115"/>
    </row>
    <row r="60" spans="1:53" ht="6.6" customHeight="1" x14ac:dyDescent="0.2">
      <c r="A60" s="112"/>
      <c r="B60" s="280" t="s">
        <v>196</v>
      </c>
      <c r="C60" s="280"/>
      <c r="D60" s="280"/>
      <c r="E60" s="280"/>
      <c r="F60" s="280"/>
      <c r="G60" s="85"/>
      <c r="H60" s="85"/>
      <c r="I60" s="85"/>
      <c r="J60" s="648"/>
      <c r="K60" s="648"/>
      <c r="L60" s="648"/>
      <c r="M60" s="648"/>
      <c r="N60" s="106"/>
      <c r="O60" s="114"/>
      <c r="P60" s="605" t="s">
        <v>215</v>
      </c>
      <c r="Q60" s="606"/>
      <c r="R60" s="606"/>
      <c r="S60" s="606"/>
      <c r="T60" s="606"/>
      <c r="U60" s="606"/>
      <c r="V60" s="606"/>
      <c r="W60" s="441"/>
      <c r="X60" s="441"/>
      <c r="Y60" s="441"/>
      <c r="Z60" s="441"/>
      <c r="AA60" s="441"/>
      <c r="AH60" s="120"/>
      <c r="AI60" s="282"/>
      <c r="AJ60" s="280"/>
      <c r="AK60" s="280"/>
      <c r="AL60" s="280"/>
      <c r="AM60" s="280"/>
      <c r="AN60" s="280"/>
      <c r="AO60" s="280"/>
      <c r="AP60" s="677"/>
      <c r="AQ60" s="677"/>
      <c r="AR60" s="677"/>
      <c r="AS60" s="677"/>
      <c r="AT60" s="115"/>
    </row>
    <row r="61" spans="1:53" ht="6.6" customHeight="1" x14ac:dyDescent="0.2">
      <c r="A61" s="112"/>
      <c r="B61" s="280"/>
      <c r="C61" s="280"/>
      <c r="D61" s="280"/>
      <c r="E61" s="280"/>
      <c r="F61" s="280"/>
      <c r="G61" s="85"/>
      <c r="H61" s="85"/>
      <c r="I61" s="85"/>
      <c r="J61" s="118"/>
      <c r="K61" s="118"/>
      <c r="L61" s="118"/>
      <c r="M61" s="118"/>
      <c r="N61" s="106"/>
      <c r="O61" s="114"/>
      <c r="P61" s="605"/>
      <c r="Q61" s="606"/>
      <c r="R61" s="606"/>
      <c r="S61" s="606"/>
      <c r="T61" s="606"/>
      <c r="U61" s="606"/>
      <c r="V61" s="606"/>
      <c r="W61" s="61"/>
      <c r="X61" s="61"/>
      <c r="Y61" s="77"/>
      <c r="Z61" s="61"/>
      <c r="AA61" s="61"/>
      <c r="AH61" s="120"/>
      <c r="AI61" s="282" t="s">
        <v>231</v>
      </c>
      <c r="AJ61" s="280"/>
      <c r="AK61" s="280"/>
      <c r="AL61" s="280"/>
      <c r="AM61" s="280"/>
      <c r="AN61" s="280"/>
      <c r="AO61" s="280"/>
      <c r="AP61" s="676" t="str">
        <f>IF(AC56&gt;0,ROUND(W68/AC56*100,0),"")</f>
        <v/>
      </c>
      <c r="AQ61" s="676"/>
      <c r="AR61" s="676"/>
      <c r="AS61" s="676"/>
      <c r="AT61" s="115"/>
    </row>
    <row r="62" spans="1:53" ht="6.6" customHeight="1" x14ac:dyDescent="0.2">
      <c r="A62" s="112"/>
      <c r="B62" s="280" t="s">
        <v>197</v>
      </c>
      <c r="C62" s="280"/>
      <c r="D62" s="280"/>
      <c r="E62" s="280"/>
      <c r="F62" s="280"/>
      <c r="G62" s="85"/>
      <c r="H62" s="85"/>
      <c r="I62" s="85"/>
      <c r="J62" s="706" t="str">
        <f>IF(ISNUMBER(J55),J55-J59,"")</f>
        <v/>
      </c>
      <c r="K62" s="706"/>
      <c r="L62" s="706"/>
      <c r="M62" s="706"/>
      <c r="N62" s="706"/>
      <c r="O62" s="114"/>
      <c r="P62" s="121"/>
      <c r="Q62" s="64"/>
      <c r="R62" s="64"/>
      <c r="S62" s="64"/>
      <c r="T62" s="64"/>
      <c r="U62" s="64"/>
      <c r="V62" s="64"/>
      <c r="W62" s="633"/>
      <c r="X62" s="633"/>
      <c r="Y62" s="633"/>
      <c r="Z62" s="633"/>
      <c r="AA62" s="633"/>
      <c r="AB62" s="64"/>
      <c r="AC62" s="64"/>
      <c r="AD62" s="64"/>
      <c r="AE62" s="64"/>
      <c r="AF62" s="64"/>
      <c r="AG62" s="64"/>
      <c r="AH62" s="120"/>
      <c r="AI62" s="282"/>
      <c r="AJ62" s="280"/>
      <c r="AK62" s="280"/>
      <c r="AL62" s="280"/>
      <c r="AM62" s="280"/>
      <c r="AN62" s="280"/>
      <c r="AO62" s="280"/>
      <c r="AP62" s="677"/>
      <c r="AQ62" s="677"/>
      <c r="AR62" s="677"/>
      <c r="AS62" s="677"/>
      <c r="AT62" s="115"/>
    </row>
    <row r="63" spans="1:53" ht="6.6" customHeight="1" x14ac:dyDescent="0.2">
      <c r="A63" s="122"/>
      <c r="B63" s="280"/>
      <c r="C63" s="280"/>
      <c r="D63" s="280"/>
      <c r="E63" s="280"/>
      <c r="F63" s="280"/>
      <c r="G63" s="85"/>
      <c r="H63" s="85"/>
      <c r="I63" s="85"/>
      <c r="J63" s="655"/>
      <c r="K63" s="655"/>
      <c r="L63" s="655"/>
      <c r="M63" s="655"/>
      <c r="N63" s="655"/>
      <c r="O63" s="114"/>
      <c r="P63" s="605" t="s">
        <v>216</v>
      </c>
      <c r="Q63" s="606"/>
      <c r="R63" s="606"/>
      <c r="S63" s="606"/>
      <c r="T63" s="606"/>
      <c r="U63" s="606"/>
      <c r="V63" s="606"/>
      <c r="W63" s="441"/>
      <c r="X63" s="441"/>
      <c r="Y63" s="441"/>
      <c r="Z63" s="441"/>
      <c r="AA63" s="441"/>
      <c r="AB63" s="64"/>
      <c r="AC63" s="64"/>
      <c r="AD63" s="64"/>
      <c r="AE63" s="64"/>
      <c r="AF63" s="64"/>
      <c r="AG63" s="64"/>
      <c r="AH63" s="120"/>
      <c r="AI63" s="282" t="s">
        <v>232</v>
      </c>
      <c r="AJ63" s="280"/>
      <c r="AK63" s="280"/>
      <c r="AL63" s="280"/>
      <c r="AM63" s="280"/>
      <c r="AN63" s="280"/>
      <c r="AO63" s="280"/>
      <c r="AP63" s="676" t="str">
        <f>IF(J62&lt;&gt;"", IF(AT55 &gt; 0, ROUND(AT55*J62,0),J62), IF(AC56&gt;0,ROUND(W71/AC56*100,0),""))</f>
        <v/>
      </c>
      <c r="AQ63" s="676"/>
      <c r="AR63" s="676"/>
      <c r="AS63" s="676"/>
      <c r="AT63" s="115"/>
    </row>
    <row r="64" spans="1:53" ht="6" customHeight="1" x14ac:dyDescent="0.2">
      <c r="A64" s="122"/>
      <c r="B64" s="85"/>
      <c r="C64" s="64"/>
      <c r="D64" s="64"/>
      <c r="E64" s="64"/>
      <c r="F64" s="64"/>
      <c r="G64" s="64"/>
      <c r="H64" s="64"/>
      <c r="I64" s="64"/>
      <c r="J64" s="64"/>
      <c r="K64" s="64"/>
      <c r="L64" s="99"/>
      <c r="M64" s="99"/>
      <c r="N64" s="99"/>
      <c r="O64" s="114"/>
      <c r="P64" s="605"/>
      <c r="Q64" s="606"/>
      <c r="R64" s="606"/>
      <c r="S64" s="606"/>
      <c r="T64" s="606"/>
      <c r="U64" s="606"/>
      <c r="V64" s="606"/>
      <c r="W64" s="61"/>
      <c r="X64" s="61"/>
      <c r="Y64" s="77"/>
      <c r="Z64" s="61"/>
      <c r="AA64" s="61"/>
      <c r="AB64" s="64"/>
      <c r="AC64" s="64"/>
      <c r="AD64" s="64"/>
      <c r="AE64" s="64"/>
      <c r="AF64" s="64"/>
      <c r="AG64" s="64"/>
      <c r="AH64" s="120"/>
      <c r="AI64" s="282"/>
      <c r="AJ64" s="280"/>
      <c r="AK64" s="280"/>
      <c r="AL64" s="280"/>
      <c r="AM64" s="280"/>
      <c r="AN64" s="280"/>
      <c r="AO64" s="280"/>
      <c r="AP64" s="677"/>
      <c r="AQ64" s="677"/>
      <c r="AR64" s="677"/>
      <c r="AS64" s="677"/>
      <c r="AT64" s="115"/>
      <c r="AX64" s="123"/>
      <c r="BA64" s="123"/>
    </row>
    <row r="65" spans="1:56" ht="6" customHeight="1" x14ac:dyDescent="0.2">
      <c r="A65" s="122"/>
      <c r="B65" s="650" t="s">
        <v>244</v>
      </c>
      <c r="C65" s="650"/>
      <c r="D65" s="650"/>
      <c r="E65" s="650"/>
      <c r="F65" s="650"/>
      <c r="G65" s="650"/>
      <c r="H65" s="650"/>
      <c r="I65" s="650"/>
      <c r="J65" s="650"/>
      <c r="K65" s="85"/>
      <c r="L65" s="99"/>
      <c r="M65" s="99"/>
      <c r="N65" s="99"/>
      <c r="O65" s="114"/>
      <c r="P65" s="121"/>
      <c r="Q65" s="64"/>
      <c r="R65" s="64"/>
      <c r="S65" s="64"/>
      <c r="T65" s="64"/>
      <c r="U65" s="64"/>
      <c r="V65" s="64"/>
      <c r="W65" s="633"/>
      <c r="X65" s="633"/>
      <c r="Y65" s="633"/>
      <c r="Z65" s="633"/>
      <c r="AA65" s="633"/>
      <c r="AB65" s="64"/>
      <c r="AC65" s="64"/>
      <c r="AD65" s="64"/>
      <c r="AE65" s="64"/>
      <c r="AF65" s="64"/>
      <c r="AG65" s="64"/>
      <c r="AH65" s="120"/>
      <c r="AI65" s="282" t="s">
        <v>233</v>
      </c>
      <c r="AJ65" s="280"/>
      <c r="AK65" s="280"/>
      <c r="AL65" s="280"/>
      <c r="AM65" s="280"/>
      <c r="AN65" s="280"/>
      <c r="AO65" s="280"/>
      <c r="AP65" s="676" t="str">
        <f>IF(AC75&lt;&gt;"",IF(AT55 &gt; 0, ROUND(AT55*AC75,0),AC75),"")</f>
        <v/>
      </c>
      <c r="AQ65" s="676"/>
      <c r="AR65" s="676"/>
      <c r="AS65" s="676"/>
      <c r="AT65" s="115"/>
      <c r="AX65" s="123"/>
      <c r="BA65" s="123"/>
      <c r="BD65" s="271"/>
    </row>
    <row r="66" spans="1:56" ht="6.6" customHeight="1" x14ac:dyDescent="0.2">
      <c r="A66" s="112"/>
      <c r="B66" s="650"/>
      <c r="C66" s="650"/>
      <c r="D66" s="650"/>
      <c r="E66" s="650"/>
      <c r="F66" s="650"/>
      <c r="G66" s="650"/>
      <c r="H66" s="650"/>
      <c r="I66" s="650"/>
      <c r="J66" s="650"/>
      <c r="K66" s="85"/>
      <c r="L66" s="99"/>
      <c r="M66" s="99"/>
      <c r="N66" s="99"/>
      <c r="O66" s="114"/>
      <c r="P66" s="605" t="s">
        <v>217</v>
      </c>
      <c r="Q66" s="606"/>
      <c r="R66" s="606"/>
      <c r="S66" s="606"/>
      <c r="T66" s="606"/>
      <c r="U66" s="606"/>
      <c r="V66" s="606"/>
      <c r="W66" s="441"/>
      <c r="X66" s="441"/>
      <c r="Y66" s="441"/>
      <c r="Z66" s="441"/>
      <c r="AA66" s="441"/>
      <c r="AB66" s="64"/>
      <c r="AC66" s="64"/>
      <c r="AD66" s="64"/>
      <c r="AE66" s="64"/>
      <c r="AF66" s="64"/>
      <c r="AG66" s="64"/>
      <c r="AH66" s="120"/>
      <c r="AI66" s="282"/>
      <c r="AJ66" s="280"/>
      <c r="AK66" s="280"/>
      <c r="AL66" s="280"/>
      <c r="AM66" s="280"/>
      <c r="AN66" s="280"/>
      <c r="AO66" s="280"/>
      <c r="AP66" s="677"/>
      <c r="AQ66" s="677"/>
      <c r="AR66" s="677"/>
      <c r="AS66" s="677"/>
      <c r="AT66" s="115"/>
    </row>
    <row r="67" spans="1:56" ht="6.6" customHeight="1" x14ac:dyDescent="0.2">
      <c r="A67" s="112"/>
      <c r="B67" s="292" t="s">
        <v>212</v>
      </c>
      <c r="C67" s="292"/>
      <c r="D67" s="292"/>
      <c r="E67" s="292"/>
      <c r="F67" s="292"/>
      <c r="G67" s="292"/>
      <c r="H67" s="292"/>
      <c r="I67" s="292"/>
      <c r="J67" s="85"/>
      <c r="K67" s="85"/>
      <c r="L67" s="99"/>
      <c r="M67" s="99"/>
      <c r="N67" s="99"/>
      <c r="O67" s="114"/>
      <c r="P67" s="605"/>
      <c r="Q67" s="606"/>
      <c r="R67" s="606"/>
      <c r="S67" s="606"/>
      <c r="T67" s="606"/>
      <c r="U67" s="606"/>
      <c r="V67" s="606"/>
      <c r="W67" s="61"/>
      <c r="X67" s="61"/>
      <c r="Y67" s="77"/>
      <c r="Z67" s="61"/>
      <c r="AA67" s="61"/>
      <c r="AB67" s="64"/>
      <c r="AC67" s="64"/>
      <c r="AD67" s="64"/>
      <c r="AE67" s="64"/>
      <c r="AF67" s="64"/>
      <c r="AG67" s="64"/>
      <c r="AH67" s="120"/>
      <c r="AI67" s="282" t="s">
        <v>234</v>
      </c>
      <c r="AJ67" s="280"/>
      <c r="AK67" s="280"/>
      <c r="AL67" s="280"/>
      <c r="AM67" s="280"/>
      <c r="AN67" s="280"/>
      <c r="AO67" s="280"/>
      <c r="AP67" s="676" t="str">
        <f>IF(AC78&lt;&gt;"",IF(AT55 &gt; 0, ROUND(AT55*AC78,0),AC78),"")</f>
        <v/>
      </c>
      <c r="AQ67" s="676"/>
      <c r="AR67" s="676"/>
      <c r="AS67" s="676"/>
      <c r="AT67" s="115"/>
      <c r="AX67" s="123"/>
    </row>
    <row r="68" spans="1:56" ht="6.6" customHeight="1" x14ac:dyDescent="0.2">
      <c r="A68" s="112"/>
      <c r="B68" s="292"/>
      <c r="C68" s="292"/>
      <c r="D68" s="292"/>
      <c r="E68" s="292"/>
      <c r="F68" s="292"/>
      <c r="G68" s="292"/>
      <c r="H68" s="292"/>
      <c r="I68" s="292"/>
      <c r="J68" s="648"/>
      <c r="K68" s="648"/>
      <c r="L68" s="648"/>
      <c r="M68" s="648"/>
      <c r="N68" s="648"/>
      <c r="O68" s="114"/>
      <c r="P68" s="121"/>
      <c r="Q68" s="64"/>
      <c r="R68" s="64"/>
      <c r="S68" s="64"/>
      <c r="T68" s="64"/>
      <c r="U68" s="64"/>
      <c r="V68" s="64"/>
      <c r="W68" s="633"/>
      <c r="X68" s="633"/>
      <c r="Y68" s="633"/>
      <c r="Z68" s="633"/>
      <c r="AA68" s="633"/>
      <c r="AB68" s="64"/>
      <c r="AC68" s="64"/>
      <c r="AD68" s="64"/>
      <c r="AE68" s="64"/>
      <c r="AF68" s="64"/>
      <c r="AG68" s="64"/>
      <c r="AH68" s="120"/>
      <c r="AI68" s="282"/>
      <c r="AJ68" s="280"/>
      <c r="AK68" s="280"/>
      <c r="AL68" s="280"/>
      <c r="AM68" s="280"/>
      <c r="AN68" s="280"/>
      <c r="AO68" s="280"/>
      <c r="AP68" s="677"/>
      <c r="AQ68" s="677"/>
      <c r="AR68" s="677"/>
      <c r="AS68" s="677"/>
      <c r="AT68" s="115"/>
    </row>
    <row r="69" spans="1:56" ht="6.6" customHeight="1" x14ac:dyDescent="0.2">
      <c r="A69" s="112"/>
      <c r="B69" s="280" t="s">
        <v>195</v>
      </c>
      <c r="C69" s="280"/>
      <c r="D69" s="280"/>
      <c r="E69" s="280"/>
      <c r="F69" s="280"/>
      <c r="G69" s="280"/>
      <c r="H69" s="280"/>
      <c r="I69" s="85"/>
      <c r="J69" s="648"/>
      <c r="K69" s="648"/>
      <c r="L69" s="648"/>
      <c r="M69" s="648"/>
      <c r="N69" s="648"/>
      <c r="O69" s="114"/>
      <c r="P69" s="605" t="s">
        <v>218</v>
      </c>
      <c r="Q69" s="606"/>
      <c r="R69" s="606"/>
      <c r="S69" s="606"/>
      <c r="T69" s="606"/>
      <c r="U69" s="606"/>
      <c r="V69" s="606"/>
      <c r="W69" s="441"/>
      <c r="X69" s="441"/>
      <c r="Y69" s="441"/>
      <c r="Z69" s="441"/>
      <c r="AA69" s="441"/>
      <c r="AB69" s="64"/>
      <c r="AC69" s="64"/>
      <c r="AD69" s="64"/>
      <c r="AE69" s="64"/>
      <c r="AF69" s="64"/>
      <c r="AG69" s="64"/>
      <c r="AH69" s="120"/>
      <c r="AI69" s="282" t="s">
        <v>222</v>
      </c>
      <c r="AJ69" s="280"/>
      <c r="AK69" s="280"/>
      <c r="AL69" s="280"/>
      <c r="AM69" s="280"/>
      <c r="AN69" s="280"/>
      <c r="AO69" s="280"/>
      <c r="AP69" s="676" t="str">
        <f>IF(AC80&lt;&gt;"",ROUND(100-(AP55+AP57+AP59+AP61+AP63+AP65+AP67+AP71),0),"")</f>
        <v/>
      </c>
      <c r="AQ69" s="676"/>
      <c r="AR69" s="676"/>
      <c r="AS69" s="676"/>
      <c r="AT69" s="115"/>
    </row>
    <row r="70" spans="1:56" ht="6.6" customHeight="1" x14ac:dyDescent="0.2">
      <c r="A70" s="112"/>
      <c r="B70" s="280"/>
      <c r="C70" s="280"/>
      <c r="D70" s="280"/>
      <c r="E70" s="280"/>
      <c r="F70" s="280"/>
      <c r="G70" s="280"/>
      <c r="H70" s="280"/>
      <c r="I70" s="85"/>
      <c r="J70" s="118"/>
      <c r="K70" s="118"/>
      <c r="L70" s="118"/>
      <c r="M70" s="118"/>
      <c r="N70" s="118"/>
      <c r="O70" s="114"/>
      <c r="P70" s="605"/>
      <c r="Q70" s="606"/>
      <c r="R70" s="606"/>
      <c r="S70" s="606"/>
      <c r="T70" s="606"/>
      <c r="U70" s="606"/>
      <c r="V70" s="606"/>
      <c r="W70" s="61"/>
      <c r="X70" s="61"/>
      <c r="Y70" s="77"/>
      <c r="Z70" s="61"/>
      <c r="AA70" s="61"/>
      <c r="AB70" s="64"/>
      <c r="AC70" s="64"/>
      <c r="AD70" s="64"/>
      <c r="AE70" s="64"/>
      <c r="AF70" s="64"/>
      <c r="AG70" s="64"/>
      <c r="AH70" s="120"/>
      <c r="AI70" s="282"/>
      <c r="AJ70" s="280"/>
      <c r="AK70" s="280"/>
      <c r="AL70" s="280"/>
      <c r="AM70" s="280"/>
      <c r="AN70" s="280"/>
      <c r="AO70" s="280"/>
      <c r="AP70" s="677"/>
      <c r="AQ70" s="677"/>
      <c r="AR70" s="677"/>
      <c r="AS70" s="677"/>
      <c r="AT70" s="115"/>
    </row>
    <row r="71" spans="1:56" ht="6.6" customHeight="1" x14ac:dyDescent="0.2">
      <c r="A71" s="112"/>
      <c r="B71" s="280" t="s">
        <v>54</v>
      </c>
      <c r="C71" s="280"/>
      <c r="D71" s="280"/>
      <c r="E71" s="441"/>
      <c r="F71" s="441"/>
      <c r="G71" s="441"/>
      <c r="H71" s="85"/>
      <c r="I71" s="85"/>
      <c r="J71" s="106"/>
      <c r="K71" s="106"/>
      <c r="L71" s="106"/>
      <c r="M71" s="106"/>
      <c r="N71" s="106"/>
      <c r="O71" s="114"/>
      <c r="P71" s="121"/>
      <c r="Q71" s="64"/>
      <c r="R71" s="64"/>
      <c r="S71" s="64"/>
      <c r="T71" s="64"/>
      <c r="U71" s="64"/>
      <c r="V71" s="64"/>
      <c r="W71" s="633"/>
      <c r="X71" s="633"/>
      <c r="Y71" s="633"/>
      <c r="Z71" s="633"/>
      <c r="AA71" s="633"/>
      <c r="AB71" s="64"/>
      <c r="AC71" s="703">
        <f>IF(J62&lt;&gt;"", J62, 0)</f>
        <v>0</v>
      </c>
      <c r="AD71" s="703"/>
      <c r="AE71" s="703"/>
      <c r="AF71" s="703"/>
      <c r="AG71" s="703"/>
      <c r="AH71" s="120"/>
      <c r="AI71" s="282" t="s">
        <v>235</v>
      </c>
      <c r="AJ71" s="280"/>
      <c r="AK71" s="280"/>
      <c r="AL71" s="280"/>
      <c r="AM71" s="280"/>
      <c r="AN71" s="280"/>
      <c r="AO71" s="280"/>
      <c r="AP71" s="676" t="str">
        <f>IF(AC82&lt;&gt;"",IF(AT55 &gt; 0, ROUND(AT55*AC82,0),AC82),"")</f>
        <v/>
      </c>
      <c r="AQ71" s="676"/>
      <c r="AR71" s="676"/>
      <c r="AS71" s="676"/>
      <c r="AT71" s="115"/>
    </row>
    <row r="72" spans="1:56" ht="6.6" customHeight="1" x14ac:dyDescent="0.2">
      <c r="A72" s="112"/>
      <c r="B72" s="280"/>
      <c r="C72" s="280"/>
      <c r="D72" s="280"/>
      <c r="E72" s="626"/>
      <c r="F72" s="626"/>
      <c r="G72" s="626"/>
      <c r="H72" s="85"/>
      <c r="I72" s="85"/>
      <c r="J72" s="648"/>
      <c r="K72" s="648"/>
      <c r="L72" s="648"/>
      <c r="M72" s="648"/>
      <c r="N72" s="106"/>
      <c r="O72" s="114"/>
      <c r="P72" s="605" t="s">
        <v>219</v>
      </c>
      <c r="Q72" s="606"/>
      <c r="R72" s="606"/>
      <c r="S72" s="606"/>
      <c r="T72" s="606"/>
      <c r="U72" s="606"/>
      <c r="V72" s="606"/>
      <c r="W72" s="441"/>
      <c r="X72" s="441"/>
      <c r="Y72" s="441"/>
      <c r="Z72" s="441"/>
      <c r="AA72" s="441"/>
      <c r="AB72" s="64"/>
      <c r="AC72" s="703"/>
      <c r="AD72" s="703"/>
      <c r="AE72" s="703"/>
      <c r="AF72" s="703"/>
      <c r="AG72" s="703"/>
      <c r="AH72" s="120"/>
      <c r="AI72" s="282"/>
      <c r="AJ72" s="280"/>
      <c r="AK72" s="280"/>
      <c r="AL72" s="280"/>
      <c r="AM72" s="280"/>
      <c r="AN72" s="280"/>
      <c r="AO72" s="280"/>
      <c r="AP72" s="677"/>
      <c r="AQ72" s="677"/>
      <c r="AR72" s="677"/>
      <c r="AS72" s="677"/>
      <c r="AT72" s="115"/>
    </row>
    <row r="73" spans="1:56" ht="6.6" customHeight="1" x14ac:dyDescent="0.2">
      <c r="A73" s="112"/>
      <c r="B73" s="280" t="s">
        <v>196</v>
      </c>
      <c r="C73" s="280"/>
      <c r="D73" s="280"/>
      <c r="E73" s="280"/>
      <c r="F73" s="280"/>
      <c r="G73" s="85"/>
      <c r="H73" s="85"/>
      <c r="I73" s="85"/>
      <c r="J73" s="648"/>
      <c r="K73" s="648"/>
      <c r="L73" s="648"/>
      <c r="M73" s="648"/>
      <c r="N73" s="106"/>
      <c r="O73" s="114"/>
      <c r="P73" s="605"/>
      <c r="Q73" s="606"/>
      <c r="R73" s="606"/>
      <c r="S73" s="606"/>
      <c r="T73" s="606"/>
      <c r="U73" s="606"/>
      <c r="V73" s="606"/>
      <c r="W73" s="61"/>
      <c r="X73" s="61"/>
      <c r="Y73" s="77"/>
      <c r="Z73" s="61"/>
      <c r="AA73" s="61"/>
      <c r="AB73" s="64"/>
      <c r="AC73" s="64"/>
      <c r="AD73" s="64"/>
      <c r="AE73" s="64"/>
      <c r="AF73" s="64"/>
      <c r="AG73" s="64"/>
      <c r="AH73" s="120"/>
      <c r="AI73" s="605" t="s">
        <v>236</v>
      </c>
      <c r="AJ73" s="606"/>
      <c r="AK73" s="606"/>
      <c r="AL73" s="606"/>
      <c r="AM73" s="606"/>
      <c r="AN73" s="606"/>
      <c r="AO73" s="606"/>
      <c r="AP73" s="676" t="str">
        <f>IF(AP63&lt;&gt;"",100-(AP55+AP57+AP59+AP61+AP63),"")</f>
        <v/>
      </c>
      <c r="AQ73" s="676"/>
      <c r="AR73" s="676"/>
      <c r="AS73" s="676"/>
      <c r="AT73" s="115"/>
    </row>
    <row r="74" spans="1:56" ht="6.6" customHeight="1" x14ac:dyDescent="0.2">
      <c r="A74" s="112"/>
      <c r="B74" s="280"/>
      <c r="C74" s="280"/>
      <c r="D74" s="280"/>
      <c r="E74" s="280"/>
      <c r="F74" s="280"/>
      <c r="G74" s="85"/>
      <c r="H74" s="85"/>
      <c r="I74" s="85"/>
      <c r="J74" s="118"/>
      <c r="K74" s="118"/>
      <c r="L74" s="118"/>
      <c r="M74" s="118"/>
      <c r="N74" s="106"/>
      <c r="O74" s="114"/>
      <c r="P74" s="121"/>
      <c r="Q74" s="64"/>
      <c r="R74" s="64"/>
      <c r="S74" s="64"/>
      <c r="T74" s="64"/>
      <c r="U74" s="64"/>
      <c r="V74" s="64"/>
      <c r="W74" s="99"/>
      <c r="X74" s="64"/>
      <c r="Y74" s="64"/>
      <c r="Z74" s="64"/>
      <c r="AA74" s="64"/>
      <c r="AB74" s="64"/>
      <c r="AC74" s="64"/>
      <c r="AD74" s="99"/>
      <c r="AE74" s="99"/>
      <c r="AF74" s="99"/>
      <c r="AG74" s="99"/>
      <c r="AH74" s="114"/>
      <c r="AI74" s="605"/>
      <c r="AJ74" s="606"/>
      <c r="AK74" s="606"/>
      <c r="AL74" s="606"/>
      <c r="AM74" s="606"/>
      <c r="AN74" s="606"/>
      <c r="AO74" s="606"/>
      <c r="AP74" s="677"/>
      <c r="AQ74" s="677"/>
      <c r="AR74" s="677"/>
      <c r="AS74" s="677"/>
      <c r="AT74" s="115"/>
    </row>
    <row r="75" spans="1:56" ht="6.6" customHeight="1" x14ac:dyDescent="0.2">
      <c r="A75" s="112"/>
      <c r="B75" s="280" t="s">
        <v>197</v>
      </c>
      <c r="C75" s="280"/>
      <c r="D75" s="280"/>
      <c r="E75" s="280"/>
      <c r="F75" s="280"/>
      <c r="G75" s="85"/>
      <c r="H75" s="85"/>
      <c r="I75" s="85"/>
      <c r="J75" s="706" t="str">
        <f>IF(ISNUMBER(J68),J68-J72,"")</f>
        <v/>
      </c>
      <c r="K75" s="706"/>
      <c r="L75" s="706"/>
      <c r="M75" s="706"/>
      <c r="N75" s="706"/>
      <c r="O75" s="114"/>
      <c r="P75" s="605" t="s">
        <v>220</v>
      </c>
      <c r="Q75" s="606"/>
      <c r="R75" s="606"/>
      <c r="S75" s="606"/>
      <c r="T75" s="606"/>
      <c r="U75" s="606"/>
      <c r="V75" s="606"/>
      <c r="W75" s="646" t="str">
        <f>J75</f>
        <v/>
      </c>
      <c r="X75" s="646"/>
      <c r="Y75" s="646"/>
      <c r="Z75" s="646"/>
      <c r="AA75" s="646"/>
      <c r="AB75" s="99"/>
      <c r="AC75" s="646" t="str">
        <f>IF(W75&lt;&gt;"",IF(AM32=1,ROUND(W75/50*100,1),ROUND(W75/100*100,1)),"")</f>
        <v/>
      </c>
      <c r="AD75" s="646"/>
      <c r="AE75" s="646"/>
      <c r="AF75" s="646"/>
      <c r="AG75" s="646"/>
      <c r="AH75" s="114"/>
      <c r="AI75" s="605" t="s">
        <v>237</v>
      </c>
      <c r="AJ75" s="606"/>
      <c r="AK75" s="606"/>
      <c r="AL75" s="606"/>
      <c r="AM75" s="606"/>
      <c r="AN75" s="606"/>
      <c r="AO75" s="606"/>
      <c r="AP75" s="676" t="str">
        <f>IFERROR(IF(AP73&lt;&gt;"",AP73-AP65,""),"")</f>
        <v/>
      </c>
      <c r="AQ75" s="676"/>
      <c r="AR75" s="676"/>
      <c r="AS75" s="676"/>
      <c r="AT75" s="115"/>
    </row>
    <row r="76" spans="1:56" ht="6.6" customHeight="1" x14ac:dyDescent="0.2">
      <c r="A76" s="122"/>
      <c r="B76" s="280"/>
      <c r="C76" s="280"/>
      <c r="D76" s="280"/>
      <c r="E76" s="280"/>
      <c r="F76" s="280"/>
      <c r="G76" s="85"/>
      <c r="H76" s="85"/>
      <c r="I76" s="85"/>
      <c r="J76" s="655"/>
      <c r="K76" s="655"/>
      <c r="L76" s="655"/>
      <c r="M76" s="655"/>
      <c r="N76" s="655"/>
      <c r="O76" s="114"/>
      <c r="P76" s="605"/>
      <c r="Q76" s="606"/>
      <c r="R76" s="606"/>
      <c r="S76" s="606"/>
      <c r="T76" s="606"/>
      <c r="U76" s="606"/>
      <c r="V76" s="606"/>
      <c r="W76" s="647"/>
      <c r="X76" s="647"/>
      <c r="Y76" s="647"/>
      <c r="Z76" s="647"/>
      <c r="AA76" s="647"/>
      <c r="AB76" s="99"/>
      <c r="AC76" s="647"/>
      <c r="AD76" s="647"/>
      <c r="AE76" s="647"/>
      <c r="AF76" s="647"/>
      <c r="AG76" s="647"/>
      <c r="AH76" s="116"/>
      <c r="AI76" s="605"/>
      <c r="AJ76" s="606"/>
      <c r="AK76" s="606"/>
      <c r="AL76" s="606"/>
      <c r="AM76" s="606"/>
      <c r="AN76" s="606"/>
      <c r="AO76" s="606"/>
      <c r="AP76" s="677"/>
      <c r="AQ76" s="677"/>
      <c r="AR76" s="677"/>
      <c r="AS76" s="677"/>
      <c r="AT76" s="115"/>
    </row>
    <row r="77" spans="1:56" ht="2.25" customHeight="1" x14ac:dyDescent="0.2">
      <c r="A77" s="122"/>
      <c r="B77" s="85"/>
      <c r="C77" s="64"/>
      <c r="D77" s="64"/>
      <c r="E77" s="64"/>
      <c r="F77" s="64"/>
      <c r="G77" s="64"/>
      <c r="H77" s="64"/>
      <c r="I77" s="64"/>
      <c r="J77" s="64"/>
      <c r="K77" s="64"/>
      <c r="L77" s="99"/>
      <c r="M77" s="99"/>
      <c r="N77" s="99"/>
      <c r="O77" s="114"/>
      <c r="P77" s="121"/>
      <c r="Q77" s="64"/>
      <c r="R77" s="64"/>
      <c r="S77" s="64"/>
      <c r="T77" s="64"/>
      <c r="U77" s="64"/>
      <c r="V77" s="64"/>
      <c r="W77" s="124"/>
      <c r="X77" s="125"/>
      <c r="Y77" s="125"/>
      <c r="Z77" s="125"/>
      <c r="AA77" s="125"/>
      <c r="AB77" s="64"/>
      <c r="AC77" s="125"/>
      <c r="AD77" s="125"/>
      <c r="AE77" s="124"/>
      <c r="AF77" s="124"/>
      <c r="AG77" s="124"/>
      <c r="AH77" s="115"/>
      <c r="AP77" s="126"/>
      <c r="AQ77" s="126"/>
      <c r="AR77" s="126"/>
      <c r="AS77" s="126"/>
      <c r="AT77" s="115"/>
    </row>
    <row r="78" spans="1:56" ht="6.6" customHeight="1" x14ac:dyDescent="0.2">
      <c r="A78" s="122"/>
      <c r="B78" s="650" t="s">
        <v>245</v>
      </c>
      <c r="C78" s="650"/>
      <c r="D78" s="650"/>
      <c r="E78" s="650"/>
      <c r="F78" s="650"/>
      <c r="G78" s="650"/>
      <c r="H78" s="650"/>
      <c r="I78" s="650"/>
      <c r="J78" s="650"/>
      <c r="K78" s="85"/>
      <c r="L78" s="99"/>
      <c r="M78" s="99"/>
      <c r="N78" s="99"/>
      <c r="O78" s="114"/>
      <c r="P78" s="605" t="s">
        <v>221</v>
      </c>
      <c r="Q78" s="606"/>
      <c r="R78" s="606"/>
      <c r="S78" s="606"/>
      <c r="T78" s="606"/>
      <c r="U78" s="606"/>
      <c r="V78" s="606"/>
      <c r="W78" s="646" t="str">
        <f>J88</f>
        <v/>
      </c>
      <c r="X78" s="646"/>
      <c r="Y78" s="646"/>
      <c r="Z78" s="646"/>
      <c r="AA78" s="646"/>
      <c r="AB78" s="99"/>
      <c r="AC78" s="646" t="str">
        <f>IF(W78&lt;&gt;"",IF(AM32=1,ROUND(W78/50*100,1),ROUND(W78/100*100,1)),"")</f>
        <v/>
      </c>
      <c r="AD78" s="646"/>
      <c r="AE78" s="646"/>
      <c r="AF78" s="646"/>
      <c r="AG78" s="646"/>
      <c r="AH78" s="116"/>
      <c r="AI78" s="605" t="s">
        <v>238</v>
      </c>
      <c r="AJ78" s="606"/>
      <c r="AK78" s="606"/>
      <c r="AL78" s="606"/>
      <c r="AM78" s="606"/>
      <c r="AN78" s="606"/>
      <c r="AO78" s="606"/>
      <c r="AP78" s="676" t="str">
        <f>IF(AP75&lt;&gt;"",AP75-AP67,"")</f>
        <v/>
      </c>
      <c r="AQ78" s="676"/>
      <c r="AR78" s="676"/>
      <c r="AS78" s="676"/>
      <c r="AT78" s="115"/>
    </row>
    <row r="79" spans="1:56" ht="6.6" customHeight="1" x14ac:dyDescent="0.2">
      <c r="A79" s="112"/>
      <c r="B79" s="650"/>
      <c r="C79" s="650"/>
      <c r="D79" s="650"/>
      <c r="E79" s="650"/>
      <c r="F79" s="650"/>
      <c r="G79" s="650"/>
      <c r="H79" s="650"/>
      <c r="I79" s="650"/>
      <c r="J79" s="650"/>
      <c r="K79" s="85"/>
      <c r="L79" s="99"/>
      <c r="M79" s="99"/>
      <c r="N79" s="99"/>
      <c r="O79" s="114"/>
      <c r="P79" s="605"/>
      <c r="Q79" s="606"/>
      <c r="R79" s="606"/>
      <c r="S79" s="606"/>
      <c r="T79" s="606"/>
      <c r="U79" s="606"/>
      <c r="V79" s="606"/>
      <c r="W79" s="647"/>
      <c r="X79" s="647"/>
      <c r="Y79" s="647"/>
      <c r="Z79" s="647"/>
      <c r="AA79" s="647"/>
      <c r="AB79" s="99"/>
      <c r="AC79" s="647"/>
      <c r="AD79" s="647"/>
      <c r="AE79" s="647"/>
      <c r="AF79" s="647"/>
      <c r="AG79" s="647"/>
      <c r="AH79" s="116"/>
      <c r="AI79" s="605"/>
      <c r="AJ79" s="606"/>
      <c r="AK79" s="606"/>
      <c r="AL79" s="606"/>
      <c r="AM79" s="606"/>
      <c r="AN79" s="606"/>
      <c r="AO79" s="606"/>
      <c r="AP79" s="677"/>
      <c r="AQ79" s="677"/>
      <c r="AR79" s="677"/>
      <c r="AS79" s="677"/>
      <c r="AT79" s="115"/>
    </row>
    <row r="80" spans="1:56" ht="6.6" customHeight="1" x14ac:dyDescent="0.2">
      <c r="A80" s="112"/>
      <c r="B80" s="292" t="s">
        <v>212</v>
      </c>
      <c r="C80" s="292"/>
      <c r="D80" s="292"/>
      <c r="E80" s="292"/>
      <c r="F80" s="292"/>
      <c r="G80" s="292"/>
      <c r="H80" s="292"/>
      <c r="I80" s="292"/>
      <c r="J80" s="85"/>
      <c r="K80" s="85"/>
      <c r="L80" s="99"/>
      <c r="M80" s="99"/>
      <c r="N80" s="99"/>
      <c r="O80" s="114"/>
      <c r="P80" s="605" t="s">
        <v>222</v>
      </c>
      <c r="Q80" s="606"/>
      <c r="R80" s="606"/>
      <c r="S80" s="606"/>
      <c r="T80" s="606"/>
      <c r="U80" s="606"/>
      <c r="V80" s="606"/>
      <c r="W80" s="64"/>
      <c r="X80" s="64"/>
      <c r="Y80" s="64"/>
      <c r="Z80" s="64"/>
      <c r="AA80" s="64"/>
      <c r="AB80" s="64"/>
      <c r="AC80" s="646" t="str">
        <f>IF(AC82&lt;&gt;"",IF(AC78&lt;&gt;"",100-(AC82+AC78+AC75+AC71),""),"")</f>
        <v/>
      </c>
      <c r="AD80" s="646"/>
      <c r="AE80" s="646"/>
      <c r="AF80" s="646"/>
      <c r="AG80" s="646"/>
      <c r="AH80" s="127"/>
      <c r="AI80" s="605" t="s">
        <v>239</v>
      </c>
      <c r="AJ80" s="606"/>
      <c r="AK80" s="606"/>
      <c r="AL80" s="606"/>
      <c r="AM80" s="606"/>
      <c r="AN80" s="606"/>
      <c r="AO80" s="606"/>
      <c r="AP80" s="676" t="str">
        <f>IF(AC75&lt;&gt;"",IF(AT55 &gt; 0, ROUND(AT55*SUM(AC75,AC78),0),SUM(AC75,AC78)),"")</f>
        <v/>
      </c>
      <c r="AQ80" s="676"/>
      <c r="AR80" s="676"/>
      <c r="AS80" s="676"/>
      <c r="AT80" s="120"/>
    </row>
    <row r="81" spans="1:46" ht="6.6" customHeight="1" x14ac:dyDescent="0.2">
      <c r="A81" s="112"/>
      <c r="B81" s="292"/>
      <c r="C81" s="292"/>
      <c r="D81" s="292"/>
      <c r="E81" s="292"/>
      <c r="F81" s="292"/>
      <c r="G81" s="292"/>
      <c r="H81" s="292"/>
      <c r="I81" s="292"/>
      <c r="J81" s="648"/>
      <c r="K81" s="648"/>
      <c r="L81" s="648"/>
      <c r="M81" s="648"/>
      <c r="N81" s="648"/>
      <c r="O81" s="114"/>
      <c r="P81" s="605"/>
      <c r="Q81" s="606"/>
      <c r="R81" s="606"/>
      <c r="S81" s="606"/>
      <c r="T81" s="606"/>
      <c r="U81" s="606"/>
      <c r="V81" s="606"/>
      <c r="W81" s="145"/>
      <c r="X81" s="63"/>
      <c r="Y81" s="63"/>
      <c r="Z81" s="63"/>
      <c r="AA81" s="63"/>
      <c r="AB81" s="64"/>
      <c r="AC81" s="647"/>
      <c r="AD81" s="647"/>
      <c r="AE81" s="647"/>
      <c r="AF81" s="647"/>
      <c r="AG81" s="647"/>
      <c r="AH81" s="127"/>
      <c r="AI81" s="605"/>
      <c r="AJ81" s="606"/>
      <c r="AK81" s="606"/>
      <c r="AL81" s="606"/>
      <c r="AM81" s="606"/>
      <c r="AN81" s="606"/>
      <c r="AO81" s="606"/>
      <c r="AP81" s="677"/>
      <c r="AQ81" s="677"/>
      <c r="AR81" s="677"/>
      <c r="AS81" s="677"/>
      <c r="AT81" s="120"/>
    </row>
    <row r="82" spans="1:46" ht="6.6" customHeight="1" x14ac:dyDescent="0.2">
      <c r="A82" s="112"/>
      <c r="B82" s="280" t="s">
        <v>195</v>
      </c>
      <c r="C82" s="280"/>
      <c r="D82" s="280"/>
      <c r="E82" s="280"/>
      <c r="F82" s="280"/>
      <c r="G82" s="280"/>
      <c r="H82" s="280"/>
      <c r="I82" s="85"/>
      <c r="J82" s="648"/>
      <c r="K82" s="648"/>
      <c r="L82" s="648"/>
      <c r="M82" s="648"/>
      <c r="N82" s="648"/>
      <c r="O82" s="114"/>
      <c r="P82" s="605" t="s">
        <v>223</v>
      </c>
      <c r="Q82" s="606"/>
      <c r="R82" s="606"/>
      <c r="S82" s="606"/>
      <c r="T82" s="606"/>
      <c r="U82" s="606"/>
      <c r="V82" s="606"/>
      <c r="W82" s="63"/>
      <c r="X82" s="63"/>
      <c r="Y82" s="63"/>
      <c r="Z82" s="63"/>
      <c r="AA82" s="63"/>
      <c r="AB82" s="63"/>
      <c r="AC82" s="291" t="str">
        <f>IF(AI47&lt;&gt;"",ROUND(AI43+(AI47-AI43)*(LOG(0.005)-LOG(AO43))/(LOG(AO47)-LOG(AO43)),0),"")</f>
        <v/>
      </c>
      <c r="AD82" s="291"/>
      <c r="AE82" s="291"/>
      <c r="AF82" s="291"/>
      <c r="AG82" s="291"/>
      <c r="AH82" s="127"/>
      <c r="AI82" s="605" t="s">
        <v>240</v>
      </c>
      <c r="AJ82" s="606"/>
      <c r="AK82" s="606"/>
      <c r="AL82" s="606"/>
      <c r="AM82" s="606"/>
      <c r="AN82" s="606"/>
      <c r="AO82" s="606"/>
      <c r="AP82" s="698" t="str">
        <f>IF(AC80&lt;&gt;"",ROUND(AC80,0),"")</f>
        <v/>
      </c>
      <c r="AQ82" s="698"/>
      <c r="AR82" s="698"/>
      <c r="AS82" s="698"/>
      <c r="AT82" s="120"/>
    </row>
    <row r="83" spans="1:46" ht="6.6" customHeight="1" x14ac:dyDescent="0.2">
      <c r="A83" s="112"/>
      <c r="B83" s="280"/>
      <c r="C83" s="280"/>
      <c r="D83" s="280"/>
      <c r="E83" s="280"/>
      <c r="F83" s="280"/>
      <c r="G83" s="280"/>
      <c r="H83" s="280"/>
      <c r="I83" s="85"/>
      <c r="J83" s="118"/>
      <c r="K83" s="118"/>
      <c r="L83" s="118"/>
      <c r="M83" s="118"/>
      <c r="N83" s="118"/>
      <c r="O83" s="114"/>
      <c r="P83" s="605"/>
      <c r="Q83" s="606"/>
      <c r="R83" s="606"/>
      <c r="S83" s="606"/>
      <c r="T83" s="606"/>
      <c r="U83" s="606"/>
      <c r="V83" s="606"/>
      <c r="W83" s="128"/>
      <c r="X83" s="129"/>
      <c r="Y83" s="63"/>
      <c r="Z83" s="63"/>
      <c r="AA83" s="63"/>
      <c r="AB83" s="63"/>
      <c r="AC83" s="321"/>
      <c r="AD83" s="321"/>
      <c r="AE83" s="321"/>
      <c r="AF83" s="321"/>
      <c r="AG83" s="321"/>
      <c r="AH83" s="127"/>
      <c r="AI83" s="605"/>
      <c r="AJ83" s="606"/>
      <c r="AK83" s="606"/>
      <c r="AL83" s="606"/>
      <c r="AM83" s="606"/>
      <c r="AN83" s="606"/>
      <c r="AO83" s="606"/>
      <c r="AP83" s="677"/>
      <c r="AQ83" s="677"/>
      <c r="AR83" s="677"/>
      <c r="AS83" s="677"/>
      <c r="AT83" s="120"/>
    </row>
    <row r="84" spans="1:46" ht="6.6" customHeight="1" x14ac:dyDescent="0.2">
      <c r="A84" s="112"/>
      <c r="B84" s="280" t="s">
        <v>54</v>
      </c>
      <c r="C84" s="280"/>
      <c r="D84" s="280"/>
      <c r="E84" s="441"/>
      <c r="F84" s="441"/>
      <c r="G84" s="441"/>
      <c r="H84" s="85"/>
      <c r="I84" s="85"/>
      <c r="J84" s="106"/>
      <c r="K84" s="106"/>
      <c r="L84" s="106"/>
      <c r="M84" s="106"/>
      <c r="N84" s="106"/>
      <c r="O84" s="114"/>
      <c r="P84" s="605" t="s">
        <v>224</v>
      </c>
      <c r="Q84" s="606"/>
      <c r="R84" s="606"/>
      <c r="S84" s="606"/>
      <c r="T84" s="606"/>
      <c r="U84" s="606"/>
      <c r="V84" s="606"/>
      <c r="W84" s="393"/>
      <c r="X84" s="393"/>
      <c r="Y84" s="393"/>
      <c r="Z84" s="393"/>
      <c r="AA84" s="393"/>
      <c r="AB84" s="63"/>
      <c r="AC84" s="291" t="str">
        <f>IF(AND(AP63&lt;&gt;"",AP73&lt;&gt;""),AP73+AP63,"")</f>
        <v/>
      </c>
      <c r="AD84" s="291"/>
      <c r="AE84" s="291"/>
      <c r="AF84" s="291"/>
      <c r="AG84" s="291"/>
      <c r="AH84" s="127"/>
      <c r="AI84" s="605" t="s">
        <v>241</v>
      </c>
      <c r="AJ84" s="606"/>
      <c r="AK84" s="606"/>
      <c r="AL84" s="606"/>
      <c r="AM84" s="606"/>
      <c r="AN84" s="606"/>
      <c r="AO84" s="606"/>
      <c r="AP84" s="676" t="str">
        <f>IF(AP82&lt;&gt;"",100-(AP82+AP86),IF(AP80&lt;&gt;"", ROUND(AP80/AT55,0),""))</f>
        <v/>
      </c>
      <c r="AQ84" s="676"/>
      <c r="AR84" s="676"/>
      <c r="AS84" s="676"/>
      <c r="AT84" s="120"/>
    </row>
    <row r="85" spans="1:46" ht="6.6" customHeight="1" x14ac:dyDescent="0.2">
      <c r="A85" s="112"/>
      <c r="B85" s="280"/>
      <c r="C85" s="280"/>
      <c r="D85" s="280"/>
      <c r="E85" s="626"/>
      <c r="F85" s="626"/>
      <c r="G85" s="626"/>
      <c r="H85" s="85"/>
      <c r="I85" s="85"/>
      <c r="J85" s="648"/>
      <c r="K85" s="648"/>
      <c r="L85" s="648"/>
      <c r="M85" s="648"/>
      <c r="N85" s="106"/>
      <c r="O85" s="114"/>
      <c r="P85" s="605"/>
      <c r="Q85" s="606"/>
      <c r="R85" s="606"/>
      <c r="S85" s="606"/>
      <c r="T85" s="606"/>
      <c r="U85" s="606"/>
      <c r="V85" s="606"/>
      <c r="W85" s="394"/>
      <c r="X85" s="394"/>
      <c r="Y85" s="394"/>
      <c r="Z85" s="394"/>
      <c r="AA85" s="394"/>
      <c r="AB85" s="63"/>
      <c r="AC85" s="321"/>
      <c r="AD85" s="321"/>
      <c r="AE85" s="321"/>
      <c r="AF85" s="321"/>
      <c r="AG85" s="321"/>
      <c r="AH85" s="127"/>
      <c r="AI85" s="605"/>
      <c r="AJ85" s="606"/>
      <c r="AK85" s="606"/>
      <c r="AL85" s="606"/>
      <c r="AM85" s="606"/>
      <c r="AN85" s="606"/>
      <c r="AO85" s="606"/>
      <c r="AP85" s="677"/>
      <c r="AQ85" s="677"/>
      <c r="AR85" s="677"/>
      <c r="AS85" s="677"/>
      <c r="AT85" s="120"/>
    </row>
    <row r="86" spans="1:46" ht="6.6" customHeight="1" x14ac:dyDescent="0.2">
      <c r="A86" s="112"/>
      <c r="B86" s="280" t="s">
        <v>196</v>
      </c>
      <c r="C86" s="280"/>
      <c r="D86" s="280"/>
      <c r="E86" s="280"/>
      <c r="F86" s="280"/>
      <c r="G86" s="85"/>
      <c r="H86" s="85"/>
      <c r="I86" s="85"/>
      <c r="J86" s="648"/>
      <c r="K86" s="648"/>
      <c r="L86" s="648"/>
      <c r="M86" s="648"/>
      <c r="N86" s="106"/>
      <c r="O86" s="114"/>
      <c r="P86" s="605" t="s">
        <v>225</v>
      </c>
      <c r="Q86" s="606"/>
      <c r="R86" s="606"/>
      <c r="S86" s="606"/>
      <c r="T86" s="606"/>
      <c r="U86" s="606"/>
      <c r="V86" s="606"/>
      <c r="W86" s="393"/>
      <c r="X86" s="393"/>
      <c r="Y86" s="393"/>
      <c r="Z86" s="393"/>
      <c r="AA86" s="393"/>
      <c r="AB86" s="63"/>
      <c r="AC86" s="291" t="str">
        <f>AP73</f>
        <v/>
      </c>
      <c r="AD86" s="291"/>
      <c r="AE86" s="291"/>
      <c r="AF86" s="291"/>
      <c r="AG86" s="291"/>
      <c r="AH86" s="127"/>
      <c r="AI86" s="605" t="s">
        <v>242</v>
      </c>
      <c r="AJ86" s="606"/>
      <c r="AK86" s="606"/>
      <c r="AL86" s="606"/>
      <c r="AM86" s="606"/>
      <c r="AN86" s="606"/>
      <c r="AO86" s="606"/>
      <c r="AP86" s="676" t="str">
        <f>IF(AC82&lt;&gt;"",ROUND(AC82,0),"")</f>
        <v/>
      </c>
      <c r="AQ86" s="676"/>
      <c r="AR86" s="676"/>
      <c r="AS86" s="676"/>
      <c r="AT86" s="120"/>
    </row>
    <row r="87" spans="1:46" ht="6.6" customHeight="1" x14ac:dyDescent="0.2">
      <c r="A87" s="112"/>
      <c r="B87" s="280"/>
      <c r="C87" s="280"/>
      <c r="D87" s="280"/>
      <c r="E87" s="280"/>
      <c r="F87" s="280"/>
      <c r="G87" s="85"/>
      <c r="H87" s="85"/>
      <c r="I87" s="85"/>
      <c r="J87" s="118"/>
      <c r="K87" s="118"/>
      <c r="L87" s="118"/>
      <c r="M87" s="118"/>
      <c r="N87" s="106"/>
      <c r="O87" s="114"/>
      <c r="P87" s="605"/>
      <c r="Q87" s="606"/>
      <c r="R87" s="606"/>
      <c r="S87" s="606"/>
      <c r="T87" s="606"/>
      <c r="U87" s="606"/>
      <c r="V87" s="606"/>
      <c r="W87" s="394"/>
      <c r="X87" s="394"/>
      <c r="Y87" s="394"/>
      <c r="Z87" s="394"/>
      <c r="AA87" s="394"/>
      <c r="AB87" s="63"/>
      <c r="AC87" s="321"/>
      <c r="AD87" s="321"/>
      <c r="AE87" s="321"/>
      <c r="AF87" s="321"/>
      <c r="AG87" s="321"/>
      <c r="AH87" s="127"/>
      <c r="AI87" s="605"/>
      <c r="AJ87" s="606"/>
      <c r="AK87" s="606"/>
      <c r="AL87" s="606"/>
      <c r="AM87" s="606"/>
      <c r="AN87" s="606"/>
      <c r="AO87" s="606"/>
      <c r="AP87" s="677"/>
      <c r="AQ87" s="677"/>
      <c r="AR87" s="677"/>
      <c r="AS87" s="677"/>
      <c r="AT87" s="120"/>
    </row>
    <row r="88" spans="1:46" ht="6.6" customHeight="1" thickBot="1" x14ac:dyDescent="0.25">
      <c r="A88" s="112"/>
      <c r="B88" s="280" t="s">
        <v>197</v>
      </c>
      <c r="C88" s="280"/>
      <c r="D88" s="280"/>
      <c r="E88" s="280"/>
      <c r="F88" s="280"/>
      <c r="G88" s="85"/>
      <c r="H88" s="85"/>
      <c r="I88" s="85"/>
      <c r="J88" s="706" t="str">
        <f>IF(ISNUMBER(J81),J81-J85,"")</f>
        <v/>
      </c>
      <c r="K88" s="706"/>
      <c r="L88" s="706"/>
      <c r="M88" s="706"/>
      <c r="N88" s="706"/>
      <c r="O88" s="114"/>
      <c r="P88" s="130"/>
      <c r="Q88" s="131"/>
      <c r="R88" s="131"/>
      <c r="S88" s="131"/>
      <c r="T88" s="131"/>
      <c r="U88" s="131"/>
      <c r="V88" s="131"/>
      <c r="W88" s="132"/>
      <c r="X88" s="133"/>
      <c r="Y88" s="134"/>
      <c r="Z88" s="134"/>
      <c r="AA88" s="134"/>
      <c r="AB88" s="134"/>
      <c r="AC88" s="134"/>
      <c r="AD88" s="134"/>
      <c r="AE88" s="134"/>
      <c r="AF88" s="134"/>
      <c r="AG88" s="134"/>
      <c r="AH88" s="135"/>
      <c r="AI88" s="136"/>
      <c r="AJ88" s="134"/>
      <c r="AK88" s="134"/>
      <c r="AL88" s="134"/>
      <c r="AM88" s="134"/>
      <c r="AN88" s="131"/>
      <c r="AO88" s="137"/>
      <c r="AP88" s="137"/>
      <c r="AQ88" s="137"/>
      <c r="AR88" s="137"/>
      <c r="AS88" s="137"/>
      <c r="AT88" s="138"/>
    </row>
    <row r="89" spans="1:46" ht="6.6" customHeight="1" thickTop="1" x14ac:dyDescent="0.2">
      <c r="A89" s="122"/>
      <c r="B89" s="280"/>
      <c r="C89" s="280"/>
      <c r="D89" s="280"/>
      <c r="E89" s="280"/>
      <c r="F89" s="280"/>
      <c r="G89" s="85"/>
      <c r="H89" s="85"/>
      <c r="I89" s="85"/>
      <c r="J89" s="655"/>
      <c r="K89" s="655"/>
      <c r="L89" s="655"/>
      <c r="M89" s="655"/>
      <c r="N89" s="655"/>
      <c r="O89" s="114"/>
      <c r="P89" s="651" t="s">
        <v>252</v>
      </c>
      <c r="Q89" s="652"/>
      <c r="R89" s="652"/>
      <c r="S89" s="652"/>
      <c r="T89" s="652"/>
      <c r="U89" s="652"/>
      <c r="V89" s="652"/>
      <c r="W89" s="652"/>
      <c r="X89" s="652"/>
      <c r="Y89" s="652"/>
      <c r="Z89" s="652"/>
      <c r="AA89" s="652"/>
      <c r="AB89" s="652"/>
      <c r="AC89" s="139"/>
      <c r="AD89" s="139"/>
      <c r="AE89" s="139"/>
      <c r="AF89" s="139"/>
      <c r="AG89" s="139"/>
      <c r="AH89" s="139"/>
      <c r="AI89" s="139"/>
      <c r="AJ89" s="139"/>
      <c r="AK89" s="139"/>
      <c r="AL89" s="704" t="str">
        <f>IF(ISNUMBER(L167),AO89,"")</f>
        <v/>
      </c>
      <c r="AM89" s="704"/>
      <c r="AN89" s="140"/>
      <c r="AO89" s="696">
        <f>IF(ISNUMBER(L167),L167,0)</f>
        <v>0</v>
      </c>
      <c r="AP89" s="696"/>
      <c r="AQ89" s="141"/>
      <c r="AR89" s="141"/>
      <c r="AS89" s="141"/>
      <c r="AT89" s="142"/>
    </row>
    <row r="90" spans="1:46" ht="3.75" customHeight="1" thickBot="1" x14ac:dyDescent="0.25">
      <c r="A90" s="143"/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44"/>
      <c r="P90" s="653"/>
      <c r="Q90" s="384"/>
      <c r="R90" s="384"/>
      <c r="S90" s="384"/>
      <c r="T90" s="384"/>
      <c r="U90" s="384"/>
      <c r="V90" s="384"/>
      <c r="W90" s="384"/>
      <c r="X90" s="384"/>
      <c r="Y90" s="384"/>
      <c r="Z90" s="384"/>
      <c r="AA90" s="384"/>
      <c r="AB90" s="384"/>
      <c r="AC90" s="63"/>
      <c r="AD90" s="63"/>
      <c r="AE90" s="63"/>
      <c r="AF90" s="63"/>
      <c r="AG90" s="63"/>
      <c r="AH90" s="63"/>
      <c r="AI90" s="63"/>
      <c r="AJ90" s="63"/>
      <c r="AK90" s="63"/>
      <c r="AL90" s="705"/>
      <c r="AM90" s="705"/>
      <c r="AN90" s="64"/>
      <c r="AO90" s="697"/>
      <c r="AP90" s="697"/>
      <c r="AQ90" s="145"/>
      <c r="AR90" s="145"/>
      <c r="AS90" s="145"/>
      <c r="AT90" s="120"/>
    </row>
    <row r="91" spans="1:46" ht="5.45" customHeight="1" thickTop="1" x14ac:dyDescent="0.2">
      <c r="A91" s="146"/>
      <c r="B91" s="649" t="s">
        <v>243</v>
      </c>
      <c r="C91" s="649"/>
      <c r="D91" s="649"/>
      <c r="E91" s="649"/>
      <c r="F91" s="649"/>
      <c r="G91" s="649"/>
      <c r="H91" s="649"/>
      <c r="I91" s="649"/>
      <c r="J91" s="649"/>
      <c r="K91" s="109"/>
      <c r="L91" s="109"/>
      <c r="M91" s="110"/>
      <c r="N91" s="110"/>
      <c r="O91" s="142"/>
      <c r="P91" s="653"/>
      <c r="Q91" s="384"/>
      <c r="R91" s="384"/>
      <c r="S91" s="384"/>
      <c r="T91" s="384"/>
      <c r="U91" s="384"/>
      <c r="V91" s="384"/>
      <c r="W91" s="384"/>
      <c r="X91" s="384"/>
      <c r="Y91" s="384"/>
      <c r="Z91" s="384"/>
      <c r="AA91" s="384"/>
      <c r="AB91" s="384"/>
      <c r="AC91" s="63"/>
      <c r="AD91" s="63"/>
      <c r="AE91" s="63"/>
      <c r="AF91" s="63"/>
      <c r="AG91" s="63"/>
      <c r="AH91" s="63"/>
      <c r="AI91" s="63"/>
      <c r="AJ91" s="63"/>
      <c r="AK91" s="63"/>
      <c r="AL91" s="88"/>
      <c r="AM91" s="101"/>
      <c r="AN91" s="64"/>
      <c r="AO91" s="147"/>
      <c r="AP91" s="147"/>
      <c r="AQ91" s="147"/>
      <c r="AR91" s="147"/>
      <c r="AS91" s="147"/>
      <c r="AT91" s="120"/>
    </row>
    <row r="92" spans="1:46" ht="5.45" customHeight="1" x14ac:dyDescent="0.2">
      <c r="A92" s="121"/>
      <c r="B92" s="650"/>
      <c r="C92" s="650"/>
      <c r="D92" s="650"/>
      <c r="E92" s="650"/>
      <c r="F92" s="650"/>
      <c r="G92" s="650"/>
      <c r="H92" s="650"/>
      <c r="I92" s="650"/>
      <c r="J92" s="650"/>
      <c r="M92" s="99"/>
      <c r="N92" s="99"/>
      <c r="O92" s="120"/>
      <c r="P92" s="282" t="s">
        <v>253</v>
      </c>
      <c r="Q92" s="280"/>
      <c r="R92" s="280"/>
      <c r="S92" s="280"/>
      <c r="T92" s="280"/>
      <c r="U92" s="280"/>
      <c r="V92" s="280"/>
      <c r="W92" s="280"/>
      <c r="X92" s="292" t="str">
        <f>IF(AND(K93=0,ISNUMBER(K93)),0,IF(K113&lt;&gt;"",ROUND(K113*K104,0),""))</f>
        <v/>
      </c>
      <c r="Y92" s="292"/>
      <c r="Z92" s="292"/>
      <c r="AA92" s="292"/>
      <c r="AB92" s="292"/>
      <c r="AC92" s="292"/>
      <c r="AD92" s="292"/>
      <c r="AE92" s="63"/>
      <c r="AF92" s="63"/>
      <c r="AG92" s="63"/>
      <c r="AH92" s="63"/>
      <c r="AI92" s="63"/>
      <c r="AJ92" s="63"/>
      <c r="AK92" s="63"/>
      <c r="AL92" s="63"/>
      <c r="AM92" s="63"/>
      <c r="AN92" s="64"/>
      <c r="AO92" s="147"/>
      <c r="AP92" s="147"/>
      <c r="AQ92" s="147"/>
      <c r="AR92" s="147"/>
      <c r="AS92" s="147"/>
      <c r="AT92" s="120"/>
    </row>
    <row r="93" spans="1:46" ht="5.45" customHeight="1" x14ac:dyDescent="0.2">
      <c r="A93" s="121"/>
      <c r="B93" s="113"/>
      <c r="C93" s="113"/>
      <c r="D93" s="113"/>
      <c r="E93" s="113"/>
      <c r="F93" s="113"/>
      <c r="G93" s="113"/>
      <c r="H93" s="113"/>
      <c r="I93" s="113"/>
      <c r="J93" s="113"/>
      <c r="K93" s="441"/>
      <c r="L93" s="441"/>
      <c r="M93" s="99"/>
      <c r="N93" s="99"/>
      <c r="O93" s="120"/>
      <c r="P93" s="282"/>
      <c r="Q93" s="280"/>
      <c r="R93" s="280"/>
      <c r="S93" s="280"/>
      <c r="T93" s="280"/>
      <c r="U93" s="280"/>
      <c r="V93" s="280"/>
      <c r="W93" s="280"/>
      <c r="X93" s="293"/>
      <c r="Y93" s="293"/>
      <c r="Z93" s="293"/>
      <c r="AA93" s="293"/>
      <c r="AB93" s="293"/>
      <c r="AC93" s="293"/>
      <c r="AD93" s="293"/>
      <c r="AE93" s="63"/>
      <c r="AF93" s="63"/>
      <c r="AG93" s="63"/>
      <c r="AH93" s="63"/>
      <c r="AI93" s="63"/>
      <c r="AJ93" s="63"/>
      <c r="AK93" s="63"/>
      <c r="AL93" s="63"/>
      <c r="AM93" s="63"/>
      <c r="AN93" s="64"/>
      <c r="AO93" s="147"/>
      <c r="AP93" s="147"/>
      <c r="AQ93" s="147"/>
      <c r="AR93" s="147"/>
      <c r="AS93" s="147"/>
      <c r="AT93" s="120"/>
    </row>
    <row r="94" spans="1:46" ht="5.45" customHeight="1" x14ac:dyDescent="0.2">
      <c r="A94" s="148"/>
      <c r="B94" s="280" t="s">
        <v>246</v>
      </c>
      <c r="C94" s="280"/>
      <c r="D94" s="280"/>
      <c r="E94" s="280"/>
      <c r="F94" s="280"/>
      <c r="G94" s="280"/>
      <c r="H94" s="280"/>
      <c r="I94" s="85"/>
      <c r="J94" s="85"/>
      <c r="K94" s="441"/>
      <c r="L94" s="441"/>
      <c r="M94" s="99"/>
      <c r="N94" s="99"/>
      <c r="O94" s="149"/>
      <c r="P94" s="282" t="s">
        <v>254</v>
      </c>
      <c r="Q94" s="280"/>
      <c r="R94" s="280"/>
      <c r="S94" s="280"/>
      <c r="T94" s="280"/>
      <c r="U94" s="280"/>
      <c r="V94" s="280"/>
      <c r="W94" s="280"/>
      <c r="X94" s="292" t="str">
        <f>IF(AE94=0,"NP",AE94)</f>
        <v/>
      </c>
      <c r="Y94" s="292"/>
      <c r="Z94" s="292"/>
      <c r="AA94" s="292"/>
      <c r="AB94" s="292"/>
      <c r="AC94" s="292"/>
      <c r="AD94" s="292"/>
      <c r="AE94" s="657" t="str">
        <f>IF(AND(K93=0,ISNUMBER(K93)),0,IF(X92&lt;&gt;"",IF(X92&gt;K132,ROUND(X92-K132,0),0),""))</f>
        <v/>
      </c>
      <c r="AF94" s="657"/>
      <c r="AG94" s="657"/>
      <c r="AH94" s="657"/>
      <c r="AI94" s="657"/>
      <c r="AJ94" s="657"/>
      <c r="AK94" s="657"/>
      <c r="AL94" s="64"/>
      <c r="AM94" s="64"/>
      <c r="AN94" s="64"/>
      <c r="AO94" s="64"/>
      <c r="AP94" s="64"/>
      <c r="AQ94" s="64"/>
      <c r="AR94" s="64"/>
      <c r="AS94" s="64"/>
      <c r="AT94" s="120"/>
    </row>
    <row r="95" spans="1:46" ht="5.45" customHeight="1" x14ac:dyDescent="0.2">
      <c r="A95" s="148"/>
      <c r="B95" s="280"/>
      <c r="C95" s="280"/>
      <c r="D95" s="280"/>
      <c r="E95" s="280"/>
      <c r="F95" s="280"/>
      <c r="G95" s="280"/>
      <c r="H95" s="280"/>
      <c r="I95" s="85"/>
      <c r="J95" s="85"/>
      <c r="K95" s="88"/>
      <c r="L95" s="101"/>
      <c r="M95" s="85"/>
      <c r="N95" s="85"/>
      <c r="O95" s="149"/>
      <c r="P95" s="282"/>
      <c r="Q95" s="280"/>
      <c r="R95" s="280"/>
      <c r="S95" s="280"/>
      <c r="T95" s="280"/>
      <c r="U95" s="280"/>
      <c r="V95" s="280"/>
      <c r="W95" s="280"/>
      <c r="X95" s="293"/>
      <c r="Y95" s="293"/>
      <c r="Z95" s="293"/>
      <c r="AA95" s="293"/>
      <c r="AB95" s="293"/>
      <c r="AC95" s="293"/>
      <c r="AD95" s="293"/>
      <c r="AE95" s="657"/>
      <c r="AF95" s="657"/>
      <c r="AG95" s="657"/>
      <c r="AH95" s="657"/>
      <c r="AI95" s="657"/>
      <c r="AJ95" s="657"/>
      <c r="AK95" s="657"/>
      <c r="AL95" s="64"/>
      <c r="AM95" s="64"/>
      <c r="AN95" s="64"/>
      <c r="AO95" s="64"/>
      <c r="AP95" s="64"/>
      <c r="AQ95" s="64"/>
      <c r="AR95" s="64"/>
      <c r="AS95" s="64"/>
      <c r="AT95" s="120"/>
    </row>
    <row r="96" spans="1:46" ht="5.45" customHeight="1" x14ac:dyDescent="0.2">
      <c r="A96" s="148"/>
      <c r="B96" s="83"/>
      <c r="C96" s="83"/>
      <c r="D96" s="83"/>
      <c r="E96" s="83"/>
      <c r="F96" s="83"/>
      <c r="G96" s="83"/>
      <c r="H96" s="83"/>
      <c r="I96" s="85"/>
      <c r="J96" s="85"/>
      <c r="K96" s="648"/>
      <c r="L96" s="648"/>
      <c r="M96" s="648"/>
      <c r="N96" s="648"/>
      <c r="O96" s="149"/>
      <c r="P96" s="122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99" t="str">
        <f>AJ165</f>
        <v/>
      </c>
      <c r="AM96" s="700"/>
      <c r="AN96" s="700"/>
      <c r="AO96" s="700"/>
      <c r="AP96" s="64"/>
      <c r="AQ96" s="64"/>
      <c r="AR96" s="64"/>
      <c r="AS96" s="64"/>
      <c r="AT96" s="120"/>
    </row>
    <row r="97" spans="1:46" ht="5.45" customHeight="1" x14ac:dyDescent="0.2">
      <c r="A97" s="148"/>
      <c r="B97" s="280" t="s">
        <v>247</v>
      </c>
      <c r="C97" s="280"/>
      <c r="D97" s="280"/>
      <c r="E97" s="280"/>
      <c r="F97" s="280"/>
      <c r="G97" s="280"/>
      <c r="H97" s="280"/>
      <c r="I97" s="280"/>
      <c r="J97" s="85"/>
      <c r="K97" s="648"/>
      <c r="L97" s="648"/>
      <c r="M97" s="648"/>
      <c r="N97" s="648"/>
      <c r="O97" s="149"/>
      <c r="P97" s="282" t="s">
        <v>255</v>
      </c>
      <c r="Q97" s="280"/>
      <c r="R97" s="280"/>
      <c r="S97" s="280"/>
      <c r="T97" s="280"/>
      <c r="U97" s="280"/>
      <c r="V97" s="280"/>
      <c r="W97" s="280"/>
      <c r="X97" s="280"/>
      <c r="Y97" s="280"/>
      <c r="Z97" s="280"/>
      <c r="AA97" s="280"/>
      <c r="AB97" s="280"/>
      <c r="AC97" s="64"/>
      <c r="AD97" s="64"/>
      <c r="AE97" s="64"/>
      <c r="AF97" s="64"/>
      <c r="AG97" s="64"/>
      <c r="AH97" s="64"/>
      <c r="AI97" s="64"/>
      <c r="AJ97" s="64"/>
      <c r="AK97" s="64"/>
      <c r="AL97" s="700"/>
      <c r="AM97" s="700"/>
      <c r="AN97" s="700"/>
      <c r="AO97" s="700"/>
      <c r="AP97" s="64"/>
      <c r="AQ97" s="64"/>
      <c r="AR97" s="64"/>
      <c r="AS97" s="64"/>
      <c r="AT97" s="120"/>
    </row>
    <row r="98" spans="1:46" ht="5.45" customHeight="1" x14ac:dyDescent="0.2">
      <c r="A98" s="150"/>
      <c r="B98" s="280"/>
      <c r="C98" s="280"/>
      <c r="D98" s="280"/>
      <c r="E98" s="280"/>
      <c r="F98" s="280"/>
      <c r="G98" s="280"/>
      <c r="H98" s="280"/>
      <c r="I98" s="280"/>
      <c r="J98" s="86"/>
      <c r="K98" s="118"/>
      <c r="L98" s="118"/>
      <c r="M98" s="118"/>
      <c r="N98" s="118"/>
      <c r="O98" s="149"/>
      <c r="P98" s="282"/>
      <c r="Q98" s="280"/>
      <c r="R98" s="280"/>
      <c r="S98" s="280"/>
      <c r="T98" s="280"/>
      <c r="U98" s="280"/>
      <c r="V98" s="280"/>
      <c r="W98" s="280"/>
      <c r="X98" s="280"/>
      <c r="Y98" s="280"/>
      <c r="Z98" s="280"/>
      <c r="AA98" s="280"/>
      <c r="AB98" s="280"/>
      <c r="AC98" s="64"/>
      <c r="AD98" s="64"/>
      <c r="AE98" s="64"/>
      <c r="AF98" s="64"/>
      <c r="AG98" s="64"/>
      <c r="AH98" s="64"/>
      <c r="AI98" s="64"/>
      <c r="AJ98" s="64"/>
      <c r="AK98" s="64"/>
      <c r="AL98" s="88"/>
      <c r="AM98" s="101"/>
      <c r="AN98" s="101"/>
      <c r="AO98" s="101"/>
      <c r="AP98" s="64"/>
      <c r="AQ98" s="64"/>
      <c r="AR98" s="64"/>
      <c r="AS98" s="64"/>
      <c r="AT98" s="120"/>
    </row>
    <row r="99" spans="1:46" ht="5.45" customHeight="1" x14ac:dyDescent="0.2">
      <c r="A99" s="150"/>
      <c r="B99" s="83"/>
      <c r="C99" s="83"/>
      <c r="D99" s="83"/>
      <c r="E99" s="83"/>
      <c r="F99" s="83"/>
      <c r="G99" s="83"/>
      <c r="H99" s="83"/>
      <c r="I99" s="83"/>
      <c r="J99" s="85"/>
      <c r="K99" s="648"/>
      <c r="L99" s="648"/>
      <c r="M99" s="648"/>
      <c r="N99" s="648"/>
      <c r="O99" s="149"/>
      <c r="P99" s="122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700" t="str">
        <f ca="1">AQ219</f>
        <v/>
      </c>
      <c r="AM99" s="700"/>
      <c r="AN99" s="700"/>
      <c r="AO99" s="700"/>
      <c r="AP99" s="64"/>
      <c r="AQ99" s="64"/>
      <c r="AR99" s="64"/>
      <c r="AS99" s="64"/>
      <c r="AT99" s="120"/>
    </row>
    <row r="100" spans="1:46" ht="5.45" customHeight="1" x14ac:dyDescent="0.2">
      <c r="A100" s="150"/>
      <c r="B100" s="280" t="s">
        <v>248</v>
      </c>
      <c r="C100" s="280"/>
      <c r="D100" s="280"/>
      <c r="E100" s="280"/>
      <c r="F100" s="280"/>
      <c r="G100" s="280"/>
      <c r="H100" s="280"/>
      <c r="I100" s="280"/>
      <c r="J100" s="85"/>
      <c r="K100" s="648"/>
      <c r="L100" s="648"/>
      <c r="M100" s="648"/>
      <c r="N100" s="648"/>
      <c r="O100" s="149"/>
      <c r="P100" s="282" t="s">
        <v>256</v>
      </c>
      <c r="Q100" s="280"/>
      <c r="R100" s="280"/>
      <c r="S100" s="280"/>
      <c r="T100" s="280"/>
      <c r="U100" s="280"/>
      <c r="V100" s="280"/>
      <c r="W100" s="280"/>
      <c r="X100" s="280"/>
      <c r="Y100" s="280"/>
      <c r="Z100" s="280"/>
      <c r="AA100" s="280"/>
      <c r="AB100" s="280"/>
      <c r="AC100" s="64"/>
      <c r="AD100" s="64"/>
      <c r="AE100" s="64"/>
      <c r="AF100" s="64"/>
      <c r="AG100" s="64"/>
      <c r="AH100" s="64"/>
      <c r="AI100" s="64"/>
      <c r="AJ100" s="64"/>
      <c r="AK100" s="64"/>
      <c r="AL100" s="700"/>
      <c r="AM100" s="700"/>
      <c r="AN100" s="700"/>
      <c r="AO100" s="700"/>
      <c r="AP100" s="64"/>
      <c r="AQ100" s="64"/>
      <c r="AR100" s="64"/>
      <c r="AS100" s="64"/>
      <c r="AT100" s="120"/>
    </row>
    <row r="101" spans="1:46" ht="5.45" customHeight="1" x14ac:dyDescent="0.2">
      <c r="A101" s="150"/>
      <c r="B101" s="280"/>
      <c r="C101" s="280"/>
      <c r="D101" s="280"/>
      <c r="E101" s="280"/>
      <c r="F101" s="280"/>
      <c r="G101" s="280"/>
      <c r="H101" s="280"/>
      <c r="I101" s="280"/>
      <c r="J101" s="85"/>
      <c r="K101" s="118"/>
      <c r="L101" s="118"/>
      <c r="M101" s="118"/>
      <c r="N101" s="118"/>
      <c r="O101" s="149"/>
      <c r="P101" s="282"/>
      <c r="Q101" s="280"/>
      <c r="R101" s="280"/>
      <c r="S101" s="280"/>
      <c r="T101" s="280"/>
      <c r="U101" s="280"/>
      <c r="V101" s="280"/>
      <c r="W101" s="280"/>
      <c r="X101" s="280"/>
      <c r="Y101" s="280"/>
      <c r="Z101" s="280"/>
      <c r="AA101" s="280"/>
      <c r="AB101" s="280"/>
      <c r="AC101" s="64"/>
      <c r="AD101" s="64"/>
      <c r="AE101" s="64"/>
      <c r="AF101" s="64"/>
      <c r="AG101" s="64"/>
      <c r="AH101" s="64"/>
      <c r="AI101" s="64"/>
      <c r="AJ101" s="64"/>
      <c r="AK101" s="64"/>
      <c r="AL101" s="88"/>
      <c r="AM101" s="101"/>
      <c r="AN101" s="101"/>
      <c r="AO101" s="101"/>
      <c r="AP101" s="64"/>
      <c r="AQ101" s="64"/>
      <c r="AR101" s="64"/>
      <c r="AS101" s="64"/>
      <c r="AT101" s="120"/>
    </row>
    <row r="102" spans="1:46" ht="5.45" customHeight="1" x14ac:dyDescent="0.2">
      <c r="A102" s="150"/>
      <c r="B102" s="280" t="s">
        <v>249</v>
      </c>
      <c r="C102" s="280"/>
      <c r="D102" s="280"/>
      <c r="E102" s="280"/>
      <c r="F102" s="280"/>
      <c r="G102" s="280"/>
      <c r="H102" s="280"/>
      <c r="I102" s="280"/>
      <c r="J102" s="85"/>
      <c r="K102" s="654" t="str">
        <f>IF(K96,K96-K99,"")</f>
        <v/>
      </c>
      <c r="L102" s="654"/>
      <c r="M102" s="654"/>
      <c r="N102" s="654"/>
      <c r="O102" s="149"/>
      <c r="P102" s="122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700" t="str">
        <f>AQ222</f>
        <v/>
      </c>
      <c r="AM102" s="700"/>
      <c r="AN102" s="700"/>
      <c r="AO102" s="700"/>
      <c r="AP102" s="700"/>
      <c r="AQ102" s="64"/>
      <c r="AR102" s="64"/>
      <c r="AS102" s="64"/>
      <c r="AT102" s="120"/>
    </row>
    <row r="103" spans="1:46" ht="5.45" customHeight="1" x14ac:dyDescent="0.2">
      <c r="A103" s="150"/>
      <c r="B103" s="280"/>
      <c r="C103" s="280"/>
      <c r="D103" s="280"/>
      <c r="E103" s="280"/>
      <c r="F103" s="280"/>
      <c r="G103" s="280"/>
      <c r="H103" s="280"/>
      <c r="I103" s="280"/>
      <c r="J103" s="85"/>
      <c r="K103" s="655"/>
      <c r="L103" s="655"/>
      <c r="M103" s="655"/>
      <c r="N103" s="655"/>
      <c r="O103" s="149"/>
      <c r="P103" s="282" t="s">
        <v>257</v>
      </c>
      <c r="Q103" s="280"/>
      <c r="R103" s="280"/>
      <c r="S103" s="280"/>
      <c r="T103" s="280"/>
      <c r="U103" s="280"/>
      <c r="V103" s="280"/>
      <c r="W103" s="280"/>
      <c r="X103" s="280"/>
      <c r="Y103" s="280"/>
      <c r="Z103" s="280"/>
      <c r="AA103" s="280"/>
      <c r="AB103" s="280"/>
      <c r="AC103" s="64"/>
      <c r="AD103" s="64"/>
      <c r="AE103" s="64"/>
      <c r="AF103" s="64"/>
      <c r="AG103" s="64"/>
      <c r="AH103" s="64"/>
      <c r="AI103" s="64"/>
      <c r="AJ103" s="64"/>
      <c r="AK103" s="64"/>
      <c r="AL103" s="700"/>
      <c r="AM103" s="700"/>
      <c r="AN103" s="700"/>
      <c r="AO103" s="700"/>
      <c r="AP103" s="700"/>
      <c r="AQ103" s="64"/>
      <c r="AR103" s="64"/>
      <c r="AS103" s="64"/>
      <c r="AT103" s="120"/>
    </row>
    <row r="104" spans="1:46" ht="5.45" customHeight="1" x14ac:dyDescent="0.2">
      <c r="A104" s="150"/>
      <c r="B104" s="280" t="s">
        <v>53</v>
      </c>
      <c r="C104" s="280"/>
      <c r="D104" s="280"/>
      <c r="E104" s="280"/>
      <c r="F104" s="280"/>
      <c r="G104" s="280"/>
      <c r="H104" s="280"/>
      <c r="I104" s="280"/>
      <c r="J104" s="85"/>
      <c r="K104" s="701" t="str">
        <f>IF(K93,ROUND((K93/25)^0.121,4),"")</f>
        <v/>
      </c>
      <c r="L104" s="701"/>
      <c r="M104" s="701"/>
      <c r="N104" s="701"/>
      <c r="O104" s="149"/>
      <c r="P104" s="282"/>
      <c r="Q104" s="280"/>
      <c r="R104" s="280"/>
      <c r="S104" s="280"/>
      <c r="T104" s="280"/>
      <c r="U104" s="280"/>
      <c r="V104" s="280"/>
      <c r="W104" s="280"/>
      <c r="X104" s="280"/>
      <c r="Y104" s="280"/>
      <c r="Z104" s="280"/>
      <c r="AA104" s="280"/>
      <c r="AB104" s="280"/>
      <c r="AC104" s="64"/>
      <c r="AD104" s="64"/>
      <c r="AE104" s="64"/>
      <c r="AF104" s="64"/>
      <c r="AG104" s="64"/>
      <c r="AH104" s="64"/>
      <c r="AI104" s="64"/>
      <c r="AJ104" s="64"/>
      <c r="AK104" s="64"/>
      <c r="AL104" s="88"/>
      <c r="AM104" s="101"/>
      <c r="AN104" s="101"/>
      <c r="AO104" s="101"/>
      <c r="AP104" s="101"/>
      <c r="AQ104" s="64"/>
      <c r="AR104" s="64"/>
      <c r="AS104" s="64"/>
      <c r="AT104" s="120"/>
    </row>
    <row r="105" spans="1:46" ht="5.45" customHeight="1" x14ac:dyDescent="0.2">
      <c r="A105" s="150"/>
      <c r="B105" s="280"/>
      <c r="C105" s="280"/>
      <c r="D105" s="280"/>
      <c r="E105" s="280"/>
      <c r="F105" s="280"/>
      <c r="G105" s="280"/>
      <c r="H105" s="280"/>
      <c r="I105" s="280"/>
      <c r="J105" s="85"/>
      <c r="K105" s="702"/>
      <c r="L105" s="702"/>
      <c r="M105" s="702"/>
      <c r="N105" s="702"/>
      <c r="O105" s="149"/>
      <c r="P105" s="122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33"/>
      <c r="AM105" s="81"/>
      <c r="AN105" s="81"/>
      <c r="AO105" s="81"/>
      <c r="AP105" s="64"/>
      <c r="AQ105" s="64"/>
      <c r="AR105" s="64"/>
      <c r="AS105" s="64"/>
      <c r="AT105" s="120"/>
    </row>
    <row r="106" spans="1:46" ht="5.45" customHeight="1" x14ac:dyDescent="0.2">
      <c r="A106" s="150"/>
      <c r="B106" s="280" t="s">
        <v>54</v>
      </c>
      <c r="C106" s="280"/>
      <c r="D106" s="280"/>
      <c r="E106" s="280"/>
      <c r="F106" s="441"/>
      <c r="G106" s="441"/>
      <c r="H106" s="441"/>
      <c r="I106" s="85"/>
      <c r="J106" s="151"/>
      <c r="K106" s="151"/>
      <c r="L106" s="152"/>
      <c r="M106" s="152"/>
      <c r="N106" s="152"/>
      <c r="O106" s="149"/>
      <c r="P106" s="282" t="s">
        <v>258</v>
      </c>
      <c r="Q106" s="280"/>
      <c r="R106" s="280"/>
      <c r="S106" s="280"/>
      <c r="T106" s="280"/>
      <c r="U106" s="280"/>
      <c r="V106" s="280"/>
      <c r="W106" s="280"/>
      <c r="X106" s="280"/>
      <c r="Y106" s="280"/>
      <c r="Z106" s="280"/>
      <c r="AA106" s="280"/>
      <c r="AB106" s="280"/>
      <c r="AC106" s="64"/>
      <c r="AD106" s="64"/>
      <c r="AE106" s="64"/>
      <c r="AF106" s="64"/>
      <c r="AG106" s="64"/>
      <c r="AH106" s="64"/>
      <c r="AI106" s="64"/>
      <c r="AJ106" s="64"/>
      <c r="AK106" s="64"/>
      <c r="AL106" s="441"/>
      <c r="AM106" s="85"/>
      <c r="AN106" s="85"/>
      <c r="AO106" s="85"/>
      <c r="AP106" s="64"/>
      <c r="AQ106" s="64"/>
      <c r="AR106" s="145"/>
      <c r="AS106" s="145"/>
      <c r="AT106" s="120"/>
    </row>
    <row r="107" spans="1:46" ht="5.45" customHeight="1" x14ac:dyDescent="0.2">
      <c r="A107" s="150"/>
      <c r="B107" s="280"/>
      <c r="C107" s="280"/>
      <c r="D107" s="280"/>
      <c r="E107" s="280"/>
      <c r="F107" s="626"/>
      <c r="G107" s="626"/>
      <c r="H107" s="626"/>
      <c r="I107" s="85"/>
      <c r="J107" s="151"/>
      <c r="K107" s="151"/>
      <c r="L107" s="152"/>
      <c r="M107" s="152"/>
      <c r="N107" s="152"/>
      <c r="O107" s="149"/>
      <c r="P107" s="282"/>
      <c r="Q107" s="280"/>
      <c r="R107" s="280"/>
      <c r="S107" s="280"/>
      <c r="T107" s="280"/>
      <c r="U107" s="280"/>
      <c r="V107" s="280"/>
      <c r="W107" s="280"/>
      <c r="X107" s="280"/>
      <c r="Y107" s="280"/>
      <c r="Z107" s="280"/>
      <c r="AA107" s="280"/>
      <c r="AB107" s="280"/>
      <c r="AC107" s="64"/>
      <c r="AD107" s="64"/>
      <c r="AE107" s="64"/>
      <c r="AF107" s="64"/>
      <c r="AG107" s="64"/>
      <c r="AH107" s="64"/>
      <c r="AI107" s="64"/>
      <c r="AJ107" s="64"/>
      <c r="AK107" s="64"/>
      <c r="AL107" s="88"/>
      <c r="AM107" s="153"/>
      <c r="AN107" s="99"/>
      <c r="AO107" s="99"/>
      <c r="AP107" s="64"/>
      <c r="AQ107" s="64"/>
      <c r="AR107" s="145"/>
      <c r="AS107" s="145"/>
      <c r="AT107" s="120"/>
    </row>
    <row r="108" spans="1:46" ht="5.45" customHeight="1" x14ac:dyDescent="0.2">
      <c r="A108" s="150"/>
      <c r="B108" s="83"/>
      <c r="C108" s="83"/>
      <c r="D108" s="83"/>
      <c r="E108" s="83"/>
      <c r="F108" s="84"/>
      <c r="G108" s="84"/>
      <c r="H108" s="84"/>
      <c r="I108" s="85"/>
      <c r="J108" s="151"/>
      <c r="K108" s="648"/>
      <c r="L108" s="648"/>
      <c r="M108" s="648"/>
      <c r="N108" s="648"/>
      <c r="O108" s="149"/>
      <c r="P108" s="154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441"/>
      <c r="AM108" s="441"/>
      <c r="AN108" s="441"/>
      <c r="AO108" s="441"/>
      <c r="AP108" s="64"/>
      <c r="AQ108" s="64"/>
      <c r="AR108" s="145"/>
      <c r="AS108" s="145"/>
      <c r="AT108" s="120"/>
    </row>
    <row r="109" spans="1:46" ht="5.45" customHeight="1" x14ac:dyDescent="0.2">
      <c r="A109" s="150"/>
      <c r="B109" s="280" t="s">
        <v>196</v>
      </c>
      <c r="C109" s="280"/>
      <c r="D109" s="280"/>
      <c r="E109" s="280"/>
      <c r="F109" s="280"/>
      <c r="G109" s="280"/>
      <c r="H109" s="280"/>
      <c r="I109" s="280"/>
      <c r="J109" s="151"/>
      <c r="K109" s="648"/>
      <c r="L109" s="648"/>
      <c r="M109" s="648"/>
      <c r="N109" s="648"/>
      <c r="O109" s="149"/>
      <c r="P109" s="282" t="s">
        <v>259</v>
      </c>
      <c r="Q109" s="280"/>
      <c r="R109" s="280"/>
      <c r="S109" s="280"/>
      <c r="T109" s="280"/>
      <c r="U109" s="280"/>
      <c r="V109" s="280"/>
      <c r="W109" s="280"/>
      <c r="X109" s="280"/>
      <c r="Y109" s="280"/>
      <c r="Z109" s="280"/>
      <c r="AA109" s="280"/>
      <c r="AB109" s="280"/>
      <c r="AC109" s="64"/>
      <c r="AD109" s="64"/>
      <c r="AE109" s="64"/>
      <c r="AF109" s="64"/>
      <c r="AG109" s="64"/>
      <c r="AH109" s="64"/>
      <c r="AI109" s="64"/>
      <c r="AJ109" s="64"/>
      <c r="AK109" s="64"/>
      <c r="AL109" s="441"/>
      <c r="AM109" s="441"/>
      <c r="AN109" s="441"/>
      <c r="AO109" s="441"/>
      <c r="AP109" s="64"/>
      <c r="AQ109" s="64"/>
      <c r="AR109" s="64"/>
      <c r="AS109" s="64"/>
      <c r="AT109" s="120"/>
    </row>
    <row r="110" spans="1:46" ht="5.45" customHeight="1" x14ac:dyDescent="0.2">
      <c r="A110" s="150"/>
      <c r="B110" s="280"/>
      <c r="C110" s="280"/>
      <c r="D110" s="280"/>
      <c r="E110" s="280"/>
      <c r="F110" s="280"/>
      <c r="G110" s="280"/>
      <c r="H110" s="280"/>
      <c r="I110" s="280"/>
      <c r="J110" s="151"/>
      <c r="K110" s="118"/>
      <c r="L110" s="118"/>
      <c r="M110" s="118"/>
      <c r="N110" s="118"/>
      <c r="O110" s="149"/>
      <c r="P110" s="282"/>
      <c r="Q110" s="280"/>
      <c r="R110" s="280"/>
      <c r="S110" s="280"/>
      <c r="T110" s="280"/>
      <c r="U110" s="280"/>
      <c r="V110" s="280"/>
      <c r="W110" s="280"/>
      <c r="X110" s="280"/>
      <c r="Y110" s="280"/>
      <c r="Z110" s="280"/>
      <c r="AA110" s="280"/>
      <c r="AB110" s="280"/>
      <c r="AC110" s="64"/>
      <c r="AD110" s="64"/>
      <c r="AE110" s="64"/>
      <c r="AF110" s="64"/>
      <c r="AG110" s="64"/>
      <c r="AH110" s="64"/>
      <c r="AI110" s="64"/>
      <c r="AJ110" s="64"/>
      <c r="AK110" s="64"/>
      <c r="AL110" s="88"/>
      <c r="AM110" s="101"/>
      <c r="AN110" s="101"/>
      <c r="AO110" s="101"/>
      <c r="AP110" s="64"/>
      <c r="AQ110" s="64"/>
      <c r="AR110" s="64"/>
      <c r="AS110" s="64"/>
      <c r="AT110" s="120"/>
    </row>
    <row r="111" spans="1:46" ht="5.45" customHeight="1" x14ac:dyDescent="0.2">
      <c r="A111" s="150"/>
      <c r="B111" s="280" t="s">
        <v>250</v>
      </c>
      <c r="C111" s="280"/>
      <c r="D111" s="280"/>
      <c r="E111" s="280"/>
      <c r="F111" s="280"/>
      <c r="G111" s="280"/>
      <c r="H111" s="280"/>
      <c r="I111" s="280"/>
      <c r="J111" s="151"/>
      <c r="K111" s="721" t="str">
        <f>IF(K99&lt;&gt;"",K99-K108,"")</f>
        <v/>
      </c>
      <c r="L111" s="721"/>
      <c r="M111" s="721"/>
      <c r="N111" s="721"/>
      <c r="O111" s="149"/>
      <c r="P111" s="155"/>
      <c r="Q111" s="152"/>
      <c r="R111" s="152"/>
      <c r="S111" s="152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441"/>
      <c r="AM111" s="441"/>
      <c r="AN111" s="64"/>
      <c r="AO111" s="145"/>
      <c r="AP111" s="64"/>
      <c r="AQ111" s="64"/>
      <c r="AR111" s="64"/>
      <c r="AS111" s="64"/>
      <c r="AT111" s="120"/>
    </row>
    <row r="112" spans="1:46" ht="5.45" customHeight="1" x14ac:dyDescent="0.2">
      <c r="A112" s="150"/>
      <c r="B112" s="280"/>
      <c r="C112" s="280"/>
      <c r="D112" s="280"/>
      <c r="E112" s="280"/>
      <c r="F112" s="280"/>
      <c r="G112" s="280"/>
      <c r="H112" s="280"/>
      <c r="I112" s="280"/>
      <c r="J112" s="151"/>
      <c r="K112" s="722"/>
      <c r="L112" s="722"/>
      <c r="M112" s="722"/>
      <c r="N112" s="722"/>
      <c r="O112" s="149"/>
      <c r="P112" s="282" t="s">
        <v>260</v>
      </c>
      <c r="Q112" s="280"/>
      <c r="R112" s="280"/>
      <c r="S112" s="280"/>
      <c r="T112" s="280"/>
      <c r="U112" s="280"/>
      <c r="V112" s="280"/>
      <c r="W112" s="280"/>
      <c r="X112" s="280"/>
      <c r="Y112" s="280"/>
      <c r="Z112" s="280"/>
      <c r="AA112" s="280"/>
      <c r="AB112" s="280"/>
      <c r="AC112" s="64"/>
      <c r="AD112" s="64"/>
      <c r="AE112" s="64"/>
      <c r="AF112" s="64"/>
      <c r="AG112" s="64"/>
      <c r="AH112" s="64"/>
      <c r="AI112" s="64"/>
      <c r="AJ112" s="64"/>
      <c r="AK112" s="64"/>
      <c r="AL112" s="441"/>
      <c r="AM112" s="441"/>
      <c r="AN112" s="64"/>
      <c r="AO112" s="145"/>
      <c r="AP112" s="64"/>
      <c r="AQ112" s="64"/>
      <c r="AR112" s="64"/>
      <c r="AS112" s="64"/>
      <c r="AT112" s="120"/>
    </row>
    <row r="113" spans="1:46" ht="5.45" customHeight="1" x14ac:dyDescent="0.2">
      <c r="A113" s="150"/>
      <c r="B113" s="280" t="s">
        <v>57</v>
      </c>
      <c r="C113" s="280"/>
      <c r="D113" s="280"/>
      <c r="E113" s="280"/>
      <c r="F113" s="280"/>
      <c r="G113" s="280"/>
      <c r="H113" s="280"/>
      <c r="I113" s="280"/>
      <c r="J113" s="151"/>
      <c r="K113" s="721" t="str">
        <f>IF(AND(K111&lt;&gt;"",K102&lt;&gt;""),ROUND(K102/K111*100,1),"")</f>
        <v/>
      </c>
      <c r="L113" s="721"/>
      <c r="M113" s="721"/>
      <c r="N113" s="721"/>
      <c r="O113" s="149"/>
      <c r="P113" s="282"/>
      <c r="Q113" s="280"/>
      <c r="R113" s="280"/>
      <c r="S113" s="280"/>
      <c r="T113" s="280"/>
      <c r="U113" s="280"/>
      <c r="V113" s="280"/>
      <c r="W113" s="280"/>
      <c r="X113" s="280"/>
      <c r="Y113" s="280"/>
      <c r="Z113" s="280"/>
      <c r="AA113" s="280"/>
      <c r="AB113" s="280"/>
      <c r="AC113" s="64"/>
      <c r="AD113" s="64"/>
      <c r="AE113" s="64"/>
      <c r="AF113" s="64"/>
      <c r="AG113" s="64"/>
      <c r="AH113" s="64"/>
      <c r="AI113" s="64"/>
      <c r="AJ113" s="64"/>
      <c r="AK113" s="64"/>
      <c r="AL113" s="88"/>
      <c r="AM113" s="101"/>
      <c r="AN113" s="64"/>
      <c r="AO113" s="147"/>
      <c r="AP113" s="64"/>
      <c r="AQ113" s="64"/>
      <c r="AR113" s="64"/>
      <c r="AS113" s="64"/>
      <c r="AT113" s="120"/>
    </row>
    <row r="114" spans="1:46" ht="5.45" customHeight="1" x14ac:dyDescent="0.2">
      <c r="A114" s="150"/>
      <c r="B114" s="280"/>
      <c r="C114" s="280"/>
      <c r="D114" s="280"/>
      <c r="E114" s="280"/>
      <c r="F114" s="280"/>
      <c r="G114" s="280"/>
      <c r="H114" s="280"/>
      <c r="I114" s="280"/>
      <c r="J114" s="151"/>
      <c r="K114" s="722"/>
      <c r="L114" s="722"/>
      <c r="M114" s="722"/>
      <c r="N114" s="722"/>
      <c r="O114" s="149"/>
      <c r="P114" s="155"/>
      <c r="Q114" s="152"/>
      <c r="R114" s="152"/>
      <c r="S114" s="152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441"/>
      <c r="AM114" s="441"/>
      <c r="AN114" s="64"/>
      <c r="AO114" s="145"/>
      <c r="AP114" s="64"/>
      <c r="AQ114" s="64"/>
      <c r="AR114" s="64"/>
      <c r="AS114" s="64"/>
      <c r="AT114" s="120"/>
    </row>
    <row r="115" spans="1:46" ht="5.45" customHeight="1" x14ac:dyDescent="0.2">
      <c r="A115" s="150"/>
      <c r="B115" s="650" t="s">
        <v>251</v>
      </c>
      <c r="C115" s="650"/>
      <c r="D115" s="650"/>
      <c r="E115" s="650"/>
      <c r="F115" s="650"/>
      <c r="G115" s="650"/>
      <c r="H115" s="650"/>
      <c r="I115" s="650"/>
      <c r="J115" s="151"/>
      <c r="K115" s="156"/>
      <c r="L115" s="157"/>
      <c r="M115" s="157"/>
      <c r="N115" s="157"/>
      <c r="O115" s="149"/>
      <c r="P115" s="282" t="s">
        <v>261</v>
      </c>
      <c r="Q115" s="280"/>
      <c r="R115" s="280"/>
      <c r="S115" s="280"/>
      <c r="T115" s="280"/>
      <c r="U115" s="280"/>
      <c r="V115" s="280"/>
      <c r="W115" s="280"/>
      <c r="X115" s="280"/>
      <c r="Y115" s="280"/>
      <c r="Z115" s="280"/>
      <c r="AA115" s="280"/>
      <c r="AB115" s="280"/>
      <c r="AC115" s="64"/>
      <c r="AD115" s="64"/>
      <c r="AE115" s="64"/>
      <c r="AF115" s="64"/>
      <c r="AG115" s="64"/>
      <c r="AH115" s="64"/>
      <c r="AI115" s="64"/>
      <c r="AJ115" s="64"/>
      <c r="AK115" s="64"/>
      <c r="AL115" s="441"/>
      <c r="AM115" s="441"/>
      <c r="AN115" s="64"/>
      <c r="AO115" s="145"/>
      <c r="AP115" s="64"/>
      <c r="AQ115" s="64"/>
      <c r="AR115" s="64"/>
      <c r="AS115" s="64"/>
      <c r="AT115" s="120"/>
    </row>
    <row r="116" spans="1:46" ht="5.45" customHeight="1" x14ac:dyDescent="0.2">
      <c r="A116" s="150"/>
      <c r="B116" s="650"/>
      <c r="C116" s="650"/>
      <c r="D116" s="650"/>
      <c r="E116" s="650"/>
      <c r="F116" s="650"/>
      <c r="G116" s="650"/>
      <c r="H116" s="650"/>
      <c r="I116" s="650"/>
      <c r="J116" s="151"/>
      <c r="K116" s="156"/>
      <c r="L116" s="157"/>
      <c r="M116" s="157"/>
      <c r="N116" s="157"/>
      <c r="O116" s="149"/>
      <c r="P116" s="282"/>
      <c r="Q116" s="280"/>
      <c r="R116" s="280"/>
      <c r="S116" s="280"/>
      <c r="T116" s="280"/>
      <c r="U116" s="280"/>
      <c r="V116" s="280"/>
      <c r="W116" s="280"/>
      <c r="X116" s="280"/>
      <c r="Y116" s="280"/>
      <c r="Z116" s="280"/>
      <c r="AA116" s="280"/>
      <c r="AB116" s="280"/>
      <c r="AC116" s="64"/>
      <c r="AD116" s="64"/>
      <c r="AE116" s="64"/>
      <c r="AF116" s="64"/>
      <c r="AG116" s="64"/>
      <c r="AH116" s="64"/>
      <c r="AI116" s="64"/>
      <c r="AJ116" s="64"/>
      <c r="AK116" s="64"/>
      <c r="AL116" s="88"/>
      <c r="AM116" s="101"/>
      <c r="AN116" s="64"/>
      <c r="AO116" s="147"/>
      <c r="AP116" s="64"/>
      <c r="AQ116" s="64"/>
      <c r="AR116" s="64"/>
      <c r="AS116" s="64"/>
      <c r="AT116" s="120"/>
    </row>
    <row r="117" spans="1:46" ht="5.45" customHeight="1" x14ac:dyDescent="0.2">
      <c r="A117" s="150"/>
      <c r="B117" s="113"/>
      <c r="C117" s="113"/>
      <c r="D117" s="113"/>
      <c r="E117" s="113"/>
      <c r="F117" s="113"/>
      <c r="G117" s="113"/>
      <c r="H117" s="113"/>
      <c r="I117" s="113"/>
      <c r="J117" s="151"/>
      <c r="K117" s="648"/>
      <c r="L117" s="648"/>
      <c r="M117" s="648"/>
      <c r="N117" s="648"/>
      <c r="O117" s="149"/>
      <c r="P117" s="155"/>
      <c r="Q117" s="152"/>
      <c r="R117" s="152"/>
      <c r="S117" s="152"/>
      <c r="T117" s="64"/>
      <c r="U117" s="64"/>
      <c r="V117" s="64"/>
      <c r="W117" s="64"/>
      <c r="X117" s="64"/>
      <c r="Y117" s="64"/>
      <c r="Z117" s="64"/>
      <c r="AA117" s="64"/>
      <c r="AB117" s="64"/>
      <c r="AC117" s="441"/>
      <c r="AD117" s="441"/>
      <c r="AE117" s="441"/>
      <c r="AF117" s="441"/>
      <c r="AG117" s="441"/>
      <c r="AH117" s="64"/>
      <c r="AI117" s="64"/>
      <c r="AJ117" s="64"/>
      <c r="AK117" s="64"/>
      <c r="AL117" s="441"/>
      <c r="AM117" s="441"/>
      <c r="AN117" s="441"/>
      <c r="AO117" s="441"/>
      <c r="AP117" s="64"/>
      <c r="AQ117" s="64"/>
      <c r="AR117" s="64"/>
      <c r="AS117" s="63"/>
      <c r="AT117" s="120"/>
    </row>
    <row r="118" spans="1:46" ht="5.45" customHeight="1" x14ac:dyDescent="0.2">
      <c r="A118" s="150"/>
      <c r="B118" s="280" t="s">
        <v>247</v>
      </c>
      <c r="C118" s="280"/>
      <c r="D118" s="280"/>
      <c r="E118" s="280"/>
      <c r="F118" s="280"/>
      <c r="G118" s="280"/>
      <c r="H118" s="280"/>
      <c r="I118" s="280"/>
      <c r="J118" s="151"/>
      <c r="K118" s="648"/>
      <c r="L118" s="648"/>
      <c r="M118" s="648"/>
      <c r="N118" s="648"/>
      <c r="O118" s="149"/>
      <c r="P118" s="282" t="s">
        <v>262</v>
      </c>
      <c r="Q118" s="280"/>
      <c r="R118" s="280"/>
      <c r="S118" s="280"/>
      <c r="T118" s="280"/>
      <c r="U118" s="280"/>
      <c r="V118" s="280"/>
      <c r="W118" s="280"/>
      <c r="X118" s="280" t="s">
        <v>14</v>
      </c>
      <c r="Y118" s="280"/>
      <c r="Z118" s="280"/>
      <c r="AA118" s="280"/>
      <c r="AB118" s="280"/>
      <c r="AC118" s="441"/>
      <c r="AD118" s="441"/>
      <c r="AE118" s="441"/>
      <c r="AF118" s="441"/>
      <c r="AG118" s="441"/>
      <c r="AH118" s="280" t="s">
        <v>266</v>
      </c>
      <c r="AI118" s="280"/>
      <c r="AJ118" s="280"/>
      <c r="AK118" s="280"/>
      <c r="AL118" s="441"/>
      <c r="AM118" s="441"/>
      <c r="AN118" s="441"/>
      <c r="AO118" s="441"/>
      <c r="AP118" s="64"/>
      <c r="AQ118" s="64"/>
      <c r="AR118" s="63"/>
      <c r="AS118" s="63"/>
      <c r="AT118" s="120"/>
    </row>
    <row r="119" spans="1:46" ht="5.45" customHeight="1" x14ac:dyDescent="0.2">
      <c r="A119" s="154"/>
      <c r="B119" s="280"/>
      <c r="C119" s="280"/>
      <c r="D119" s="280"/>
      <c r="E119" s="280"/>
      <c r="F119" s="280"/>
      <c r="G119" s="280"/>
      <c r="H119" s="280"/>
      <c r="I119" s="280"/>
      <c r="J119" s="151"/>
      <c r="K119" s="118"/>
      <c r="L119" s="118"/>
      <c r="M119" s="118"/>
      <c r="N119" s="118"/>
      <c r="O119" s="149"/>
      <c r="P119" s="282"/>
      <c r="Q119" s="280"/>
      <c r="R119" s="280"/>
      <c r="S119" s="280"/>
      <c r="T119" s="280"/>
      <c r="U119" s="280"/>
      <c r="V119" s="280"/>
      <c r="W119" s="280"/>
      <c r="X119" s="280"/>
      <c r="Y119" s="280"/>
      <c r="Z119" s="280"/>
      <c r="AA119" s="280"/>
      <c r="AB119" s="280"/>
      <c r="AC119" s="88"/>
      <c r="AD119" s="101"/>
      <c r="AE119" s="101"/>
      <c r="AF119" s="101"/>
      <c r="AG119" s="101"/>
      <c r="AH119" s="280"/>
      <c r="AI119" s="280"/>
      <c r="AJ119" s="280"/>
      <c r="AK119" s="280"/>
      <c r="AL119" s="88"/>
      <c r="AM119" s="101"/>
      <c r="AN119" s="101"/>
      <c r="AO119" s="101"/>
      <c r="AP119" s="64"/>
      <c r="AQ119" s="64"/>
      <c r="AR119" s="63"/>
      <c r="AS119" s="63"/>
      <c r="AT119" s="120"/>
    </row>
    <row r="120" spans="1:46" ht="5.45" customHeight="1" x14ac:dyDescent="0.2">
      <c r="A120" s="154"/>
      <c r="B120" s="83"/>
      <c r="C120" s="83"/>
      <c r="D120" s="83"/>
      <c r="E120" s="83"/>
      <c r="F120" s="83"/>
      <c r="G120" s="83"/>
      <c r="H120" s="83"/>
      <c r="I120" s="83"/>
      <c r="J120" s="151"/>
      <c r="K120" s="648"/>
      <c r="L120" s="648"/>
      <c r="M120" s="648"/>
      <c r="N120" s="648"/>
      <c r="O120" s="149"/>
      <c r="P120" s="282" t="s">
        <v>263</v>
      </c>
      <c r="Q120" s="280"/>
      <c r="R120" s="280"/>
      <c r="S120" s="280"/>
      <c r="T120" s="280"/>
      <c r="U120" s="280"/>
      <c r="V120" s="280"/>
      <c r="W120" s="280"/>
      <c r="X120" s="292" t="str">
        <f>IF(X92&lt;&gt;"",VLOOKUP(MIN(E246:E258),C246:D258,2,FALSE)&amp; " (" &amp; VLOOKUP(MIN(E246:E258),C246:F258,4,FALSE) &amp; ")","")</f>
        <v/>
      </c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64"/>
      <c r="AL120" s="64"/>
      <c r="AM120" s="64"/>
      <c r="AN120" s="64"/>
      <c r="AO120" s="64"/>
      <c r="AP120" s="64"/>
      <c r="AQ120" s="64"/>
      <c r="AR120" s="63"/>
      <c r="AS120" s="63"/>
      <c r="AT120" s="120"/>
    </row>
    <row r="121" spans="1:46" ht="5.45" customHeight="1" x14ac:dyDescent="0.2">
      <c r="A121" s="154"/>
      <c r="B121" s="280" t="s">
        <v>248</v>
      </c>
      <c r="C121" s="280"/>
      <c r="D121" s="280"/>
      <c r="E121" s="280"/>
      <c r="F121" s="280"/>
      <c r="G121" s="280"/>
      <c r="H121" s="280"/>
      <c r="I121" s="280"/>
      <c r="J121" s="151"/>
      <c r="K121" s="648"/>
      <c r="L121" s="648"/>
      <c r="M121" s="648"/>
      <c r="N121" s="648"/>
      <c r="O121" s="149"/>
      <c r="P121" s="282"/>
      <c r="Q121" s="280"/>
      <c r="R121" s="280"/>
      <c r="S121" s="280"/>
      <c r="T121" s="280"/>
      <c r="U121" s="280"/>
      <c r="V121" s="280"/>
      <c r="W121" s="280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64"/>
      <c r="AL121" s="64"/>
      <c r="AM121" s="64"/>
      <c r="AN121" s="64"/>
      <c r="AO121" s="64"/>
      <c r="AP121" s="64"/>
      <c r="AQ121" s="64"/>
      <c r="AR121" s="63"/>
      <c r="AS121" s="63"/>
      <c r="AT121" s="120"/>
    </row>
    <row r="122" spans="1:46" ht="5.45" customHeight="1" x14ac:dyDescent="0.2">
      <c r="A122" s="154"/>
      <c r="B122" s="280"/>
      <c r="C122" s="280"/>
      <c r="D122" s="280"/>
      <c r="E122" s="280"/>
      <c r="F122" s="280"/>
      <c r="G122" s="280"/>
      <c r="H122" s="280"/>
      <c r="I122" s="280"/>
      <c r="J122" s="151"/>
      <c r="K122" s="118"/>
      <c r="L122" s="118"/>
      <c r="M122" s="118"/>
      <c r="N122" s="118"/>
      <c r="O122" s="149"/>
      <c r="P122" s="282" t="s">
        <v>264</v>
      </c>
      <c r="Q122" s="280"/>
      <c r="R122" s="280"/>
      <c r="S122" s="280"/>
      <c r="T122" s="280"/>
      <c r="U122" s="280"/>
      <c r="V122" s="280"/>
      <c r="W122" s="280"/>
      <c r="X122" s="618" t="str">
        <f>IF(SUM(AP55:AS64)&gt;10,"Gravelly ","") &amp; IF(X120&lt;&gt;"",IF(LEFT(X120,3)&lt;&gt;"A-8",VLOOKUP(MIN(O245:O259),L245:M259,2,FALSE)&amp;IF(AND(AO89&gt;=3, AO89&lt;15), " &amp; Organic",""),"Organic"), "")</f>
        <v/>
      </c>
      <c r="Y122" s="618"/>
      <c r="Z122" s="618"/>
      <c r="AA122" s="618"/>
      <c r="AB122" s="618"/>
      <c r="AC122" s="618"/>
      <c r="AD122" s="618"/>
      <c r="AE122" s="618"/>
      <c r="AF122" s="618"/>
      <c r="AG122" s="618"/>
      <c r="AH122" s="618"/>
      <c r="AI122" s="618"/>
      <c r="AJ122" s="618"/>
      <c r="AK122" s="64"/>
      <c r="AL122" s="64"/>
      <c r="AM122" s="64"/>
      <c r="AN122" s="64"/>
      <c r="AO122" s="64"/>
      <c r="AP122" s="64"/>
      <c r="AQ122" s="64"/>
      <c r="AR122" s="63"/>
      <c r="AS122" s="63"/>
      <c r="AT122" s="120"/>
    </row>
    <row r="123" spans="1:46" ht="5.45" customHeight="1" x14ac:dyDescent="0.2">
      <c r="A123" s="158"/>
      <c r="B123" s="280" t="s">
        <v>249</v>
      </c>
      <c r="C123" s="280"/>
      <c r="D123" s="280"/>
      <c r="E123" s="280"/>
      <c r="F123" s="280"/>
      <c r="G123" s="280"/>
      <c r="H123" s="280"/>
      <c r="I123" s="280"/>
      <c r="J123" s="151"/>
      <c r="K123" s="654" t="str">
        <f>IF(K117,K117-K120,"")</f>
        <v/>
      </c>
      <c r="L123" s="654"/>
      <c r="M123" s="654"/>
      <c r="N123" s="654"/>
      <c r="O123" s="149"/>
      <c r="P123" s="282"/>
      <c r="Q123" s="280"/>
      <c r="R123" s="280"/>
      <c r="S123" s="280"/>
      <c r="T123" s="280"/>
      <c r="U123" s="280"/>
      <c r="V123" s="280"/>
      <c r="W123" s="280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64"/>
      <c r="AL123" s="64"/>
      <c r="AM123" s="64"/>
      <c r="AN123" s="64"/>
      <c r="AO123" s="64"/>
      <c r="AP123" s="64"/>
      <c r="AQ123" s="64"/>
      <c r="AR123" s="145"/>
      <c r="AS123" s="145"/>
      <c r="AT123" s="120"/>
    </row>
    <row r="124" spans="1:46" ht="5.45" customHeight="1" x14ac:dyDescent="0.2">
      <c r="A124" s="158"/>
      <c r="B124" s="280"/>
      <c r="C124" s="280"/>
      <c r="D124" s="280"/>
      <c r="E124" s="280"/>
      <c r="F124" s="280"/>
      <c r="G124" s="280"/>
      <c r="H124" s="280"/>
      <c r="I124" s="280"/>
      <c r="J124" s="151"/>
      <c r="K124" s="655"/>
      <c r="L124" s="655"/>
      <c r="M124" s="655"/>
      <c r="N124" s="655"/>
      <c r="O124" s="149"/>
      <c r="P124" s="121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700" t="str">
        <f>IF(F197,F197,"")</f>
        <v/>
      </c>
      <c r="AM124" s="700"/>
      <c r="AN124" s="700"/>
      <c r="AO124" s="700"/>
      <c r="AP124" s="64"/>
      <c r="AQ124" s="64"/>
      <c r="AR124" s="145"/>
      <c r="AS124" s="145"/>
      <c r="AT124" s="120"/>
    </row>
    <row r="125" spans="1:46" ht="5.45" customHeight="1" x14ac:dyDescent="0.2">
      <c r="A125" s="158"/>
      <c r="B125" s="280" t="s">
        <v>54</v>
      </c>
      <c r="C125" s="280"/>
      <c r="D125" s="280"/>
      <c r="E125" s="280"/>
      <c r="F125" s="441"/>
      <c r="G125" s="441"/>
      <c r="H125" s="441"/>
      <c r="I125" s="85"/>
      <c r="J125" s="63"/>
      <c r="K125" s="145"/>
      <c r="L125" s="157"/>
      <c r="M125" s="157"/>
      <c r="N125" s="157"/>
      <c r="O125" s="149"/>
      <c r="P125" s="282" t="s">
        <v>90</v>
      </c>
      <c r="Q125" s="280"/>
      <c r="R125" s="280"/>
      <c r="S125" s="280"/>
      <c r="T125" s="280"/>
      <c r="U125" s="280"/>
      <c r="V125" s="280"/>
      <c r="W125" s="280"/>
      <c r="X125" s="280"/>
      <c r="Y125" s="280"/>
      <c r="Z125" s="280"/>
      <c r="AA125" s="280"/>
      <c r="AB125" s="280"/>
      <c r="AC125" s="64"/>
      <c r="AD125" s="64"/>
      <c r="AE125" s="64"/>
      <c r="AF125" s="64"/>
      <c r="AG125" s="64"/>
      <c r="AH125" s="64"/>
      <c r="AI125" s="64"/>
      <c r="AJ125" s="64"/>
      <c r="AK125" s="64"/>
      <c r="AL125" s="700"/>
      <c r="AM125" s="700"/>
      <c r="AN125" s="700"/>
      <c r="AO125" s="700"/>
      <c r="AP125" s="64"/>
      <c r="AQ125" s="64"/>
      <c r="AR125" s="145"/>
      <c r="AS125" s="145"/>
      <c r="AT125" s="120"/>
    </row>
    <row r="126" spans="1:46" ht="5.45" customHeight="1" x14ac:dyDescent="0.2">
      <c r="A126" s="154"/>
      <c r="B126" s="280"/>
      <c r="C126" s="280"/>
      <c r="D126" s="280"/>
      <c r="E126" s="280"/>
      <c r="F126" s="626"/>
      <c r="G126" s="626"/>
      <c r="H126" s="626"/>
      <c r="I126" s="85"/>
      <c r="J126" s="63"/>
      <c r="K126" s="145"/>
      <c r="L126" s="157"/>
      <c r="M126" s="157"/>
      <c r="N126" s="157"/>
      <c r="O126" s="159"/>
      <c r="P126" s="282"/>
      <c r="Q126" s="280"/>
      <c r="R126" s="280"/>
      <c r="S126" s="280"/>
      <c r="T126" s="280"/>
      <c r="U126" s="280"/>
      <c r="V126" s="280"/>
      <c r="W126" s="280"/>
      <c r="X126" s="280"/>
      <c r="Y126" s="280"/>
      <c r="Z126" s="280"/>
      <c r="AA126" s="280"/>
      <c r="AB126" s="280"/>
      <c r="AC126" s="64"/>
      <c r="AD126" s="64"/>
      <c r="AE126" s="64"/>
      <c r="AF126" s="64"/>
      <c r="AG126" s="64"/>
      <c r="AH126" s="64"/>
      <c r="AI126" s="64"/>
      <c r="AJ126" s="64"/>
      <c r="AK126" s="64"/>
      <c r="AL126" s="88"/>
      <c r="AM126" s="101"/>
      <c r="AN126" s="101"/>
      <c r="AO126" s="101"/>
      <c r="AP126" s="64"/>
      <c r="AQ126" s="64"/>
      <c r="AR126" s="145"/>
      <c r="AS126" s="145"/>
      <c r="AT126" s="120"/>
    </row>
    <row r="127" spans="1:46" ht="5.45" customHeight="1" x14ac:dyDescent="0.2">
      <c r="A127" s="154"/>
      <c r="B127" s="83"/>
      <c r="C127" s="83"/>
      <c r="D127" s="83"/>
      <c r="E127" s="83"/>
      <c r="F127" s="83"/>
      <c r="G127" s="83"/>
      <c r="H127" s="83"/>
      <c r="I127" s="83"/>
      <c r="J127" s="63"/>
      <c r="K127" s="648"/>
      <c r="L127" s="648"/>
      <c r="M127" s="648"/>
      <c r="N127" s="648"/>
      <c r="O127" s="159"/>
      <c r="P127" s="160"/>
      <c r="Q127" s="128"/>
      <c r="R127" s="128"/>
      <c r="S127" s="128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700" t="str">
        <f>IF(T202&lt;&gt;"",T202,"")</f>
        <v/>
      </c>
      <c r="AM127" s="700"/>
      <c r="AN127" s="700"/>
      <c r="AO127" s="700"/>
      <c r="AP127" s="700"/>
      <c r="AQ127" s="64"/>
      <c r="AR127" s="145"/>
      <c r="AS127" s="145"/>
      <c r="AT127" s="120"/>
    </row>
    <row r="128" spans="1:46" ht="5.45" customHeight="1" x14ac:dyDescent="0.2">
      <c r="A128" s="154"/>
      <c r="B128" s="280" t="s">
        <v>196</v>
      </c>
      <c r="C128" s="280"/>
      <c r="D128" s="280"/>
      <c r="E128" s="280"/>
      <c r="F128" s="280"/>
      <c r="G128" s="280"/>
      <c r="H128" s="280"/>
      <c r="I128" s="280"/>
      <c r="J128" s="63"/>
      <c r="K128" s="648"/>
      <c r="L128" s="648"/>
      <c r="M128" s="648"/>
      <c r="N128" s="648"/>
      <c r="O128" s="159"/>
      <c r="P128" s="282" t="s">
        <v>265</v>
      </c>
      <c r="Q128" s="280"/>
      <c r="R128" s="280"/>
      <c r="S128" s="280"/>
      <c r="T128" s="280"/>
      <c r="U128" s="280"/>
      <c r="V128" s="280"/>
      <c r="W128" s="280"/>
      <c r="X128" s="280"/>
      <c r="Y128" s="280"/>
      <c r="Z128" s="280"/>
      <c r="AA128" s="280"/>
      <c r="AB128" s="280"/>
      <c r="AC128" s="64"/>
      <c r="AD128" s="64"/>
      <c r="AE128" s="64"/>
      <c r="AF128" s="64"/>
      <c r="AG128" s="64"/>
      <c r="AH128" s="64"/>
      <c r="AI128" s="64"/>
      <c r="AJ128" s="64"/>
      <c r="AK128" s="64"/>
      <c r="AL128" s="700"/>
      <c r="AM128" s="700"/>
      <c r="AN128" s="700"/>
      <c r="AO128" s="700"/>
      <c r="AP128" s="700"/>
      <c r="AQ128" s="64"/>
      <c r="AR128" s="63"/>
      <c r="AS128" s="63"/>
      <c r="AT128" s="120"/>
    </row>
    <row r="129" spans="1:46" ht="5.45" customHeight="1" x14ac:dyDescent="0.2">
      <c r="A129" s="154"/>
      <c r="B129" s="280"/>
      <c r="C129" s="280"/>
      <c r="D129" s="280"/>
      <c r="E129" s="280"/>
      <c r="F129" s="280"/>
      <c r="G129" s="280"/>
      <c r="H129" s="280"/>
      <c r="I129" s="280"/>
      <c r="J129" s="151"/>
      <c r="K129" s="118"/>
      <c r="L129" s="118"/>
      <c r="M129" s="118"/>
      <c r="N129" s="118"/>
      <c r="O129" s="159"/>
      <c r="P129" s="282"/>
      <c r="Q129" s="280"/>
      <c r="R129" s="280"/>
      <c r="S129" s="280"/>
      <c r="T129" s="280"/>
      <c r="U129" s="280"/>
      <c r="V129" s="280"/>
      <c r="W129" s="280"/>
      <c r="X129" s="280"/>
      <c r="Y129" s="280"/>
      <c r="Z129" s="280"/>
      <c r="AA129" s="280"/>
      <c r="AB129" s="280"/>
      <c r="AC129" s="64"/>
      <c r="AD129" s="64"/>
      <c r="AE129" s="64"/>
      <c r="AF129" s="64"/>
      <c r="AG129" s="64"/>
      <c r="AH129" s="64"/>
      <c r="AI129" s="64"/>
      <c r="AJ129" s="64"/>
      <c r="AK129" s="64"/>
      <c r="AL129" s="88"/>
      <c r="AM129" s="101"/>
      <c r="AN129" s="101"/>
      <c r="AO129" s="101"/>
      <c r="AP129" s="88"/>
      <c r="AQ129" s="153"/>
      <c r="AR129" s="99"/>
      <c r="AS129" s="63"/>
      <c r="AT129" s="120"/>
    </row>
    <row r="130" spans="1:46" ht="5.45" customHeight="1" x14ac:dyDescent="0.2">
      <c r="A130" s="154"/>
      <c r="B130" s="280" t="s">
        <v>250</v>
      </c>
      <c r="C130" s="280"/>
      <c r="D130" s="280"/>
      <c r="E130" s="280"/>
      <c r="F130" s="280"/>
      <c r="G130" s="280"/>
      <c r="H130" s="280"/>
      <c r="I130" s="280"/>
      <c r="J130" s="151"/>
      <c r="K130" s="721" t="str">
        <f>IF(K120&lt;&gt;"",K120-K127,"")</f>
        <v/>
      </c>
      <c r="L130" s="721"/>
      <c r="M130" s="721"/>
      <c r="N130" s="721"/>
      <c r="O130" s="161"/>
      <c r="P130" s="162"/>
      <c r="Q130" s="64"/>
      <c r="R130" s="63"/>
      <c r="S130" s="63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85"/>
      <c r="AN130" s="85"/>
      <c r="AO130" s="85"/>
      <c r="AP130" s="633"/>
      <c r="AQ130" s="64"/>
      <c r="AR130" s="64"/>
      <c r="AS130" s="64"/>
      <c r="AT130" s="120"/>
    </row>
    <row r="131" spans="1:46" ht="5.45" customHeight="1" x14ac:dyDescent="0.2">
      <c r="A131" s="154"/>
      <c r="B131" s="280"/>
      <c r="C131" s="280"/>
      <c r="D131" s="280"/>
      <c r="E131" s="280"/>
      <c r="F131" s="280"/>
      <c r="G131" s="280"/>
      <c r="H131" s="280"/>
      <c r="I131" s="280"/>
      <c r="J131" s="151"/>
      <c r="K131" s="722"/>
      <c r="L131" s="722"/>
      <c r="M131" s="722"/>
      <c r="N131" s="722"/>
      <c r="O131" s="161"/>
      <c r="P131" s="282" t="s">
        <v>268</v>
      </c>
      <c r="Q131" s="280"/>
      <c r="R131" s="280"/>
      <c r="S131" s="280"/>
      <c r="T131" s="280"/>
      <c r="U131" s="280"/>
      <c r="V131" s="280"/>
      <c r="W131" s="280"/>
      <c r="X131" s="280"/>
      <c r="Y131" s="280"/>
      <c r="Z131" s="280"/>
      <c r="AA131" s="280"/>
      <c r="AB131" s="280"/>
      <c r="AC131" s="280"/>
      <c r="AD131" s="280"/>
      <c r="AE131" s="280"/>
      <c r="AF131" s="280"/>
      <c r="AG131" s="280"/>
      <c r="AH131" s="280"/>
      <c r="AI131" s="280"/>
      <c r="AJ131" s="280"/>
      <c r="AK131" s="280"/>
      <c r="AL131" s="280"/>
      <c r="AM131" s="280"/>
      <c r="AN131" s="280"/>
      <c r="AO131" s="85"/>
      <c r="AP131" s="441"/>
      <c r="AQ131" s="64"/>
      <c r="AR131" s="64"/>
      <c r="AS131" s="64"/>
      <c r="AT131" s="120"/>
    </row>
    <row r="132" spans="1:46" ht="5.45" customHeight="1" x14ac:dyDescent="0.2">
      <c r="A132" s="154"/>
      <c r="B132" s="280" t="s">
        <v>57</v>
      </c>
      <c r="C132" s="280"/>
      <c r="D132" s="280"/>
      <c r="E132" s="280"/>
      <c r="F132" s="280"/>
      <c r="G132" s="280"/>
      <c r="H132" s="280"/>
      <c r="I132" s="280"/>
      <c r="J132" s="63"/>
      <c r="K132" s="721" t="str">
        <f>IF(K123&lt;&gt;"",ROUND(K123/K130*100,1),"")</f>
        <v/>
      </c>
      <c r="L132" s="721"/>
      <c r="M132" s="721"/>
      <c r="N132" s="721"/>
      <c r="O132" s="161"/>
      <c r="P132" s="282"/>
      <c r="Q132" s="280"/>
      <c r="R132" s="280"/>
      <c r="S132" s="280"/>
      <c r="T132" s="280"/>
      <c r="U132" s="280"/>
      <c r="V132" s="280"/>
      <c r="W132" s="280"/>
      <c r="X132" s="280"/>
      <c r="Y132" s="280"/>
      <c r="Z132" s="280"/>
      <c r="AA132" s="280"/>
      <c r="AB132" s="280"/>
      <c r="AC132" s="280"/>
      <c r="AD132" s="280"/>
      <c r="AE132" s="280"/>
      <c r="AF132" s="280"/>
      <c r="AG132" s="280"/>
      <c r="AH132" s="280"/>
      <c r="AI132" s="280"/>
      <c r="AJ132" s="280"/>
      <c r="AK132" s="280"/>
      <c r="AL132" s="280"/>
      <c r="AM132" s="280"/>
      <c r="AN132" s="280"/>
      <c r="AO132" s="64"/>
      <c r="AP132" s="101"/>
      <c r="AQ132" s="64"/>
      <c r="AR132" s="64"/>
      <c r="AS132" s="64"/>
      <c r="AT132" s="120"/>
    </row>
    <row r="133" spans="1:46" ht="5.45" customHeight="1" x14ac:dyDescent="0.2">
      <c r="A133" s="154"/>
      <c r="B133" s="280"/>
      <c r="C133" s="280"/>
      <c r="D133" s="280"/>
      <c r="E133" s="280"/>
      <c r="F133" s="280"/>
      <c r="G133" s="280"/>
      <c r="H133" s="280"/>
      <c r="I133" s="280"/>
      <c r="J133" s="64"/>
      <c r="K133" s="722"/>
      <c r="L133" s="722"/>
      <c r="M133" s="722"/>
      <c r="N133" s="722"/>
      <c r="O133" s="120"/>
      <c r="P133" s="707" t="s">
        <v>267</v>
      </c>
      <c r="Q133" s="708"/>
      <c r="R133" s="708"/>
      <c r="S133" s="708"/>
      <c r="T133" s="708"/>
      <c r="U133" s="708"/>
      <c r="V133" s="708"/>
      <c r="W133" s="708"/>
      <c r="X133" s="708"/>
      <c r="Y133" s="708"/>
      <c r="Z133" s="708"/>
      <c r="AA133" s="708"/>
      <c r="AB133" s="708"/>
      <c r="AC133" s="708"/>
      <c r="AD133" s="708"/>
      <c r="AE133" s="708"/>
      <c r="AF133" s="708"/>
      <c r="AG133" s="708"/>
      <c r="AH133" s="708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120"/>
    </row>
    <row r="134" spans="1:46" ht="3.75" customHeight="1" thickBot="1" x14ac:dyDescent="0.25">
      <c r="A134" s="136"/>
      <c r="B134" s="131"/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8"/>
      <c r="P134" s="709"/>
      <c r="Q134" s="710"/>
      <c r="R134" s="710"/>
      <c r="S134" s="710"/>
      <c r="T134" s="710"/>
      <c r="U134" s="710"/>
      <c r="V134" s="710"/>
      <c r="W134" s="710"/>
      <c r="X134" s="710"/>
      <c r="Y134" s="710"/>
      <c r="Z134" s="710"/>
      <c r="AA134" s="710"/>
      <c r="AB134" s="710"/>
      <c r="AC134" s="710"/>
      <c r="AD134" s="710"/>
      <c r="AE134" s="710"/>
      <c r="AF134" s="710"/>
      <c r="AG134" s="710"/>
      <c r="AH134" s="710"/>
      <c r="AI134" s="163"/>
      <c r="AJ134" s="163"/>
      <c r="AK134" s="163"/>
      <c r="AL134" s="163"/>
      <c r="AM134" s="163"/>
      <c r="AN134" s="131"/>
      <c r="AO134" s="131"/>
      <c r="AP134" s="131"/>
      <c r="AQ134" s="131"/>
      <c r="AR134" s="131"/>
      <c r="AS134" s="131"/>
      <c r="AT134" s="138"/>
    </row>
    <row r="135" spans="1:46" ht="6.6" customHeight="1" thickTop="1" x14ac:dyDescent="0.2">
      <c r="A135" s="107"/>
      <c r="B135" s="64"/>
      <c r="C135" s="64"/>
      <c r="D135" s="64"/>
      <c r="E135" s="603"/>
      <c r="F135" s="603"/>
      <c r="G135" s="603"/>
      <c r="H135" s="603"/>
      <c r="I135" s="603"/>
      <c r="J135" s="603"/>
      <c r="K135" s="603"/>
      <c r="L135" s="603"/>
      <c r="M135" s="603"/>
      <c r="N135" s="603"/>
      <c r="O135" s="603"/>
      <c r="P135" s="603"/>
      <c r="Q135" s="603"/>
      <c r="R135" s="603"/>
      <c r="S135" s="603"/>
      <c r="T135" s="603"/>
      <c r="U135" s="603"/>
      <c r="V135" s="603"/>
      <c r="W135" s="603"/>
      <c r="X135" s="603"/>
      <c r="Y135" s="603"/>
      <c r="Z135" s="603"/>
      <c r="AA135" s="603"/>
      <c r="AB135" s="603"/>
      <c r="AC135" s="603"/>
      <c r="AD135" s="603"/>
      <c r="AE135" s="603"/>
      <c r="AF135" s="603"/>
      <c r="AG135" s="603"/>
      <c r="AH135" s="603"/>
      <c r="AI135" s="603"/>
      <c r="AJ135" s="603"/>
      <c r="AK135" s="603"/>
      <c r="AL135" s="603"/>
      <c r="AM135" s="603"/>
      <c r="AN135" s="603"/>
      <c r="AO135" s="603"/>
      <c r="AP135" s="603"/>
      <c r="AQ135" s="603"/>
      <c r="AR135" s="603"/>
      <c r="AS135" s="64"/>
      <c r="AT135" s="64"/>
    </row>
    <row r="136" spans="1:46" ht="6.6" customHeight="1" x14ac:dyDescent="0.2">
      <c r="A136" s="292" t="s">
        <v>94</v>
      </c>
      <c r="B136" s="292"/>
      <c r="C136" s="292"/>
      <c r="D136" s="292"/>
      <c r="E136" s="444"/>
      <c r="F136" s="444"/>
      <c r="G136" s="444"/>
      <c r="H136" s="444"/>
      <c r="I136" s="444"/>
      <c r="J136" s="444"/>
      <c r="K136" s="444"/>
      <c r="L136" s="444"/>
      <c r="M136" s="444"/>
      <c r="N136" s="444"/>
      <c r="O136" s="444"/>
      <c r="P136" s="444"/>
      <c r="Q136" s="444"/>
      <c r="R136" s="444"/>
      <c r="S136" s="444"/>
      <c r="T136" s="444"/>
      <c r="U136" s="444"/>
      <c r="V136" s="444"/>
      <c r="W136" s="444"/>
      <c r="X136" s="444"/>
      <c r="Y136" s="444"/>
      <c r="Z136" s="444"/>
      <c r="AA136" s="444"/>
      <c r="AB136" s="444"/>
      <c r="AC136" s="444"/>
      <c r="AD136" s="444"/>
      <c r="AE136" s="444"/>
      <c r="AF136" s="444"/>
      <c r="AG136" s="444"/>
      <c r="AH136" s="444"/>
      <c r="AI136" s="444"/>
      <c r="AJ136" s="444"/>
      <c r="AK136" s="444"/>
      <c r="AL136" s="444"/>
      <c r="AM136" s="444"/>
      <c r="AN136" s="444"/>
      <c r="AO136" s="444"/>
      <c r="AP136" s="444"/>
      <c r="AQ136" s="444"/>
      <c r="AR136" s="444"/>
      <c r="AS136" s="64"/>
      <c r="AT136" s="64"/>
    </row>
    <row r="137" spans="1:46" ht="6.6" customHeight="1" x14ac:dyDescent="0.2">
      <c r="A137" s="292"/>
      <c r="B137" s="292"/>
      <c r="C137" s="292"/>
      <c r="D137" s="292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4"/>
      <c r="AT137" s="64"/>
    </row>
    <row r="138" spans="1:46" ht="6.6" customHeight="1" x14ac:dyDescent="0.2">
      <c r="A138" s="292" t="s">
        <v>269</v>
      </c>
      <c r="B138" s="292"/>
      <c r="C138" s="292"/>
      <c r="D138" s="292"/>
      <c r="E138" s="281"/>
      <c r="F138" s="281"/>
      <c r="G138" s="281"/>
      <c r="H138" s="281"/>
      <c r="I138" s="281"/>
      <c r="J138" s="281"/>
      <c r="K138" s="281"/>
      <c r="L138" s="281"/>
      <c r="M138" s="281"/>
      <c r="N138" s="292" t="s">
        <v>271</v>
      </c>
      <c r="O138" s="292"/>
      <c r="P138" s="292"/>
      <c r="Q138" s="292"/>
      <c r="R138" s="281"/>
      <c r="S138" s="281"/>
      <c r="T138" s="281"/>
      <c r="U138" s="281"/>
      <c r="V138" s="281"/>
      <c r="W138" s="281"/>
      <c r="X138" s="281"/>
      <c r="Y138" s="281"/>
      <c r="Z138" s="281"/>
      <c r="AA138" s="618" t="s">
        <v>272</v>
      </c>
      <c r="AB138" s="618"/>
      <c r="AC138" s="618"/>
      <c r="AD138" s="618"/>
      <c r="AE138" s="618"/>
      <c r="AF138" s="618"/>
      <c r="AG138" s="618"/>
      <c r="AH138" s="281"/>
      <c r="AI138" s="281"/>
      <c r="AJ138" s="281"/>
      <c r="AK138" s="281"/>
      <c r="AL138" s="281"/>
      <c r="AM138" s="281"/>
      <c r="AN138" s="281"/>
      <c r="AO138" s="281"/>
      <c r="AP138" s="281"/>
      <c r="AQ138" s="64"/>
      <c r="AR138" s="64"/>
      <c r="AS138" s="64"/>
      <c r="AT138" s="64"/>
    </row>
    <row r="139" spans="1:46" ht="6.6" customHeight="1" x14ac:dyDescent="0.2">
      <c r="A139" s="292"/>
      <c r="B139" s="292"/>
      <c r="C139" s="292"/>
      <c r="D139" s="292"/>
      <c r="E139" s="279"/>
      <c r="F139" s="279"/>
      <c r="G139" s="279"/>
      <c r="H139" s="279"/>
      <c r="I139" s="279"/>
      <c r="J139" s="279"/>
      <c r="K139" s="279"/>
      <c r="L139" s="279"/>
      <c r="M139" s="279"/>
      <c r="N139" s="292"/>
      <c r="O139" s="292"/>
      <c r="P139" s="292"/>
      <c r="Q139" s="292"/>
      <c r="R139" s="279"/>
      <c r="S139" s="279"/>
      <c r="T139" s="279"/>
      <c r="U139" s="279"/>
      <c r="V139" s="279"/>
      <c r="W139" s="279"/>
      <c r="X139" s="279"/>
      <c r="Y139" s="279"/>
      <c r="Z139" s="279"/>
      <c r="AA139" s="292"/>
      <c r="AB139" s="292"/>
      <c r="AC139" s="292"/>
      <c r="AD139" s="292"/>
      <c r="AE139" s="292"/>
      <c r="AF139" s="292"/>
      <c r="AG139" s="292"/>
      <c r="AH139" s="279"/>
      <c r="AI139" s="279"/>
      <c r="AJ139" s="279"/>
      <c r="AK139" s="279"/>
      <c r="AL139" s="279"/>
      <c r="AM139" s="279"/>
      <c r="AN139" s="279"/>
      <c r="AO139" s="279"/>
      <c r="AP139" s="279"/>
      <c r="AQ139" s="64"/>
      <c r="AR139" s="64"/>
      <c r="AS139" s="64"/>
      <c r="AT139" s="64"/>
    </row>
    <row r="140" spans="1:46" ht="6.6" customHeight="1" x14ac:dyDescent="0.2">
      <c r="A140" s="292" t="s">
        <v>270</v>
      </c>
      <c r="B140" s="292"/>
      <c r="C140" s="292"/>
      <c r="D140" s="292"/>
      <c r="E140" s="598"/>
      <c r="F140" s="598"/>
      <c r="G140" s="598"/>
      <c r="H140" s="598"/>
      <c r="I140" s="598"/>
      <c r="J140" s="598"/>
      <c r="K140" s="598"/>
      <c r="L140" s="598"/>
      <c r="M140" s="598"/>
      <c r="N140" s="292" t="s">
        <v>270</v>
      </c>
      <c r="O140" s="292"/>
      <c r="P140" s="292"/>
      <c r="Q140" s="292"/>
      <c r="R140" s="598"/>
      <c r="S140" s="598"/>
      <c r="T140" s="598"/>
      <c r="U140" s="598"/>
      <c r="V140" s="598"/>
      <c r="W140" s="598"/>
      <c r="X140" s="598"/>
      <c r="Y140" s="598"/>
      <c r="Z140" s="598"/>
      <c r="AA140" s="292" t="s">
        <v>273</v>
      </c>
      <c r="AB140" s="292"/>
      <c r="AC140" s="292"/>
      <c r="AD140" s="292"/>
      <c r="AE140" s="292"/>
      <c r="AF140" s="292"/>
      <c r="AG140" s="292"/>
      <c r="AH140" s="598"/>
      <c r="AI140" s="598"/>
      <c r="AJ140" s="598"/>
      <c r="AK140" s="598"/>
      <c r="AL140" s="598"/>
      <c r="AM140" s="598"/>
      <c r="AN140" s="598"/>
      <c r="AO140" s="598"/>
      <c r="AP140" s="598"/>
      <c r="AQ140" s="64"/>
      <c r="AR140" s="64"/>
      <c r="AS140" s="64"/>
      <c r="AT140" s="64"/>
    </row>
    <row r="141" spans="1:46" ht="6.6" customHeight="1" x14ac:dyDescent="0.2">
      <c r="A141" s="292"/>
      <c r="B141" s="292"/>
      <c r="C141" s="292"/>
      <c r="D141" s="292"/>
      <c r="E141" s="599"/>
      <c r="F141" s="599"/>
      <c r="G141" s="599"/>
      <c r="H141" s="599"/>
      <c r="I141" s="599"/>
      <c r="J141" s="599"/>
      <c r="K141" s="599"/>
      <c r="L141" s="599"/>
      <c r="M141" s="599"/>
      <c r="N141" s="292"/>
      <c r="O141" s="292"/>
      <c r="P141" s="292"/>
      <c r="Q141" s="292"/>
      <c r="R141" s="599"/>
      <c r="S141" s="599"/>
      <c r="T141" s="599"/>
      <c r="U141" s="599"/>
      <c r="V141" s="599"/>
      <c r="W141" s="599"/>
      <c r="X141" s="599"/>
      <c r="Y141" s="599"/>
      <c r="Z141" s="599"/>
      <c r="AA141" s="292"/>
      <c r="AB141" s="292"/>
      <c r="AC141" s="292"/>
      <c r="AD141" s="292"/>
      <c r="AE141" s="292"/>
      <c r="AF141" s="292"/>
      <c r="AG141" s="292"/>
      <c r="AH141" s="599"/>
      <c r="AI141" s="599"/>
      <c r="AJ141" s="599"/>
      <c r="AK141" s="599"/>
      <c r="AL141" s="599"/>
      <c r="AM141" s="599"/>
      <c r="AN141" s="599"/>
      <c r="AO141" s="599"/>
      <c r="AP141" s="599"/>
      <c r="AQ141" s="64"/>
      <c r="AR141" s="64"/>
      <c r="AS141" s="64"/>
      <c r="AT141" s="64"/>
    </row>
    <row r="142" spans="1:46" ht="6.6" customHeight="1" thickBot="1" x14ac:dyDescent="0.25">
      <c r="A142" s="64"/>
      <c r="B142" s="64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</row>
    <row r="143" spans="1:46" ht="6.6" customHeight="1" x14ac:dyDescent="0.2">
      <c r="A143" s="164"/>
      <c r="B143" s="165"/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166"/>
      <c r="W143" s="165"/>
      <c r="X143" s="165"/>
      <c r="Y143" s="165"/>
      <c r="Z143" s="165"/>
      <c r="AA143" s="165"/>
      <c r="AB143" s="165"/>
      <c r="AC143" s="165"/>
      <c r="AD143" s="165"/>
      <c r="AE143" s="165"/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7"/>
    </row>
    <row r="144" spans="1:46" ht="6.6" customHeight="1" x14ac:dyDescent="0.2">
      <c r="A144" s="168"/>
      <c r="B144" s="280" t="s">
        <v>274</v>
      </c>
      <c r="C144" s="280"/>
      <c r="D144" s="280"/>
      <c r="E144" s="280"/>
      <c r="F144" s="280"/>
      <c r="G144" s="276"/>
      <c r="H144" s="276"/>
      <c r="I144" s="276"/>
      <c r="J144" s="276"/>
      <c r="K144" s="276"/>
      <c r="L144" s="276"/>
      <c r="M144" s="276"/>
      <c r="N144" s="276"/>
      <c r="O144" s="276"/>
      <c r="P144" s="276"/>
      <c r="Q144" s="276"/>
      <c r="R144" s="276"/>
      <c r="S144" s="276"/>
      <c r="T144" s="63"/>
      <c r="U144" s="63"/>
      <c r="V144" s="63"/>
      <c r="W144" s="280" t="s">
        <v>276</v>
      </c>
      <c r="X144" s="280"/>
      <c r="Y144" s="280"/>
      <c r="Z144" s="280"/>
      <c r="AA144" s="280"/>
      <c r="AB144" s="280"/>
      <c r="AC144" s="280"/>
      <c r="AD144" s="276"/>
      <c r="AE144" s="276"/>
      <c r="AF144" s="276"/>
      <c r="AG144" s="276"/>
      <c r="AH144" s="276"/>
      <c r="AI144" s="276"/>
      <c r="AJ144" s="276"/>
      <c r="AK144" s="276"/>
      <c r="AL144" s="276"/>
      <c r="AM144" s="276"/>
      <c r="AN144" s="276"/>
      <c r="AO144" s="276"/>
      <c r="AP144" s="276"/>
      <c r="AQ144" s="64"/>
      <c r="AR144" s="64"/>
      <c r="AS144" s="64"/>
      <c r="AT144" s="169"/>
    </row>
    <row r="145" spans="1:46" ht="6.6" customHeight="1" x14ac:dyDescent="0.2">
      <c r="A145" s="168"/>
      <c r="B145" s="280"/>
      <c r="C145" s="280"/>
      <c r="D145" s="280"/>
      <c r="E145" s="280"/>
      <c r="F145" s="280"/>
      <c r="G145" s="279"/>
      <c r="H145" s="279"/>
      <c r="I145" s="279"/>
      <c r="J145" s="279"/>
      <c r="K145" s="279"/>
      <c r="L145" s="279"/>
      <c r="M145" s="279"/>
      <c r="N145" s="279"/>
      <c r="O145" s="279"/>
      <c r="P145" s="279"/>
      <c r="Q145" s="279"/>
      <c r="R145" s="279"/>
      <c r="S145" s="279"/>
      <c r="T145" s="63"/>
      <c r="U145" s="63"/>
      <c r="V145" s="63"/>
      <c r="W145" s="280"/>
      <c r="X145" s="280"/>
      <c r="Y145" s="280"/>
      <c r="Z145" s="280"/>
      <c r="AA145" s="280"/>
      <c r="AB145" s="280"/>
      <c r="AC145" s="280"/>
      <c r="AD145" s="279"/>
      <c r="AE145" s="279"/>
      <c r="AF145" s="279"/>
      <c r="AG145" s="279"/>
      <c r="AH145" s="279"/>
      <c r="AI145" s="279"/>
      <c r="AJ145" s="279"/>
      <c r="AK145" s="279"/>
      <c r="AL145" s="279"/>
      <c r="AM145" s="279"/>
      <c r="AN145" s="279"/>
      <c r="AO145" s="279"/>
      <c r="AP145" s="279"/>
      <c r="AQ145" s="63"/>
      <c r="AR145" s="63"/>
      <c r="AS145" s="63"/>
      <c r="AT145" s="170"/>
    </row>
    <row r="146" spans="1:46" ht="6.6" customHeight="1" x14ac:dyDescent="0.2">
      <c r="A146" s="168"/>
      <c r="B146" s="64"/>
      <c r="C146" s="70"/>
      <c r="D146" s="70"/>
      <c r="E146" s="70"/>
      <c r="F146" s="70"/>
      <c r="G146" s="70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4"/>
      <c r="S146" s="70"/>
      <c r="T146" s="70"/>
      <c r="U146" s="63"/>
      <c r="V146" s="63"/>
      <c r="W146" s="65"/>
      <c r="X146" s="74"/>
      <c r="Y146" s="74"/>
      <c r="Z146" s="74"/>
      <c r="AA146" s="74"/>
      <c r="AB146" s="65"/>
      <c r="AC146" s="65"/>
      <c r="AD146" s="70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4"/>
      <c r="AP146" s="70"/>
      <c r="AQ146" s="64"/>
      <c r="AR146" s="64"/>
      <c r="AS146" s="64"/>
      <c r="AT146" s="169"/>
    </row>
    <row r="147" spans="1:46" ht="6.6" customHeight="1" x14ac:dyDescent="0.2">
      <c r="A147" s="168"/>
      <c r="B147" s="280" t="s">
        <v>275</v>
      </c>
      <c r="C147" s="280"/>
      <c r="D147" s="280"/>
      <c r="E147" s="280"/>
      <c r="F147" s="280"/>
      <c r="G147" s="276"/>
      <c r="H147" s="276"/>
      <c r="I147" s="276"/>
      <c r="J147" s="276"/>
      <c r="K147" s="276"/>
      <c r="L147" s="276"/>
      <c r="M147" s="276"/>
      <c r="N147" s="276"/>
      <c r="O147" s="276"/>
      <c r="P147" s="276"/>
      <c r="Q147" s="276"/>
      <c r="R147" s="276"/>
      <c r="S147" s="276"/>
      <c r="T147" s="70"/>
      <c r="U147" s="63"/>
      <c r="V147" s="63"/>
      <c r="W147" s="280" t="s">
        <v>277</v>
      </c>
      <c r="X147" s="280"/>
      <c r="Y147" s="280"/>
      <c r="Z147" s="280"/>
      <c r="AA147" s="280"/>
      <c r="AB147" s="280"/>
      <c r="AC147" s="280"/>
      <c r="AD147" s="276"/>
      <c r="AE147" s="276"/>
      <c r="AF147" s="276"/>
      <c r="AG147" s="276"/>
      <c r="AH147" s="276"/>
      <c r="AI147" s="276"/>
      <c r="AJ147" s="276"/>
      <c r="AK147" s="276"/>
      <c r="AL147" s="276"/>
      <c r="AM147" s="276"/>
      <c r="AN147" s="276"/>
      <c r="AO147" s="276"/>
      <c r="AP147" s="276"/>
      <c r="AQ147" s="64"/>
      <c r="AR147" s="64"/>
      <c r="AS147" s="64"/>
      <c r="AT147" s="169"/>
    </row>
    <row r="148" spans="1:46" ht="6.6" customHeight="1" x14ac:dyDescent="0.2">
      <c r="A148" s="168"/>
      <c r="B148" s="280"/>
      <c r="C148" s="280"/>
      <c r="D148" s="280"/>
      <c r="E148" s="280"/>
      <c r="F148" s="280"/>
      <c r="G148" s="279"/>
      <c r="H148" s="279"/>
      <c r="I148" s="279"/>
      <c r="J148" s="279"/>
      <c r="K148" s="279"/>
      <c r="L148" s="279"/>
      <c r="M148" s="279"/>
      <c r="N148" s="279"/>
      <c r="O148" s="279"/>
      <c r="P148" s="279"/>
      <c r="Q148" s="279"/>
      <c r="R148" s="279"/>
      <c r="S148" s="279"/>
      <c r="T148" s="64"/>
      <c r="U148" s="64"/>
      <c r="V148" s="64"/>
      <c r="W148" s="280"/>
      <c r="X148" s="280"/>
      <c r="Y148" s="280"/>
      <c r="Z148" s="280"/>
      <c r="AA148" s="280"/>
      <c r="AB148" s="280"/>
      <c r="AC148" s="280"/>
      <c r="AD148" s="279"/>
      <c r="AE148" s="279"/>
      <c r="AF148" s="279"/>
      <c r="AG148" s="279"/>
      <c r="AH148" s="279"/>
      <c r="AI148" s="279"/>
      <c r="AJ148" s="279"/>
      <c r="AK148" s="279"/>
      <c r="AL148" s="279"/>
      <c r="AM148" s="279"/>
      <c r="AN148" s="279"/>
      <c r="AO148" s="279"/>
      <c r="AP148" s="279"/>
      <c r="AQ148" s="64"/>
      <c r="AR148" s="64"/>
      <c r="AS148" s="64"/>
      <c r="AT148" s="169"/>
    </row>
    <row r="149" spans="1:46" ht="6.6" customHeight="1" thickBot="1" x14ac:dyDescent="0.25">
      <c r="A149" s="171"/>
      <c r="B149" s="172"/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2"/>
      <c r="Z149" s="172"/>
      <c r="AA149" s="172"/>
      <c r="AB149" s="172"/>
      <c r="AC149" s="172"/>
      <c r="AD149" s="172"/>
      <c r="AE149" s="172"/>
      <c r="AF149" s="172"/>
      <c r="AG149" s="172"/>
      <c r="AH149" s="172"/>
      <c r="AI149" s="172"/>
      <c r="AJ149" s="172"/>
      <c r="AK149" s="172"/>
      <c r="AL149" s="172"/>
      <c r="AM149" s="172"/>
      <c r="AN149" s="172"/>
      <c r="AO149" s="172"/>
      <c r="AP149" s="172"/>
      <c r="AQ149" s="172"/>
      <c r="AR149" s="172"/>
      <c r="AS149" s="172"/>
      <c r="AT149" s="173"/>
    </row>
    <row r="150" spans="1:46" ht="6.6" customHeight="1" x14ac:dyDescent="0.2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</row>
    <row r="151" spans="1:46" ht="6.6" customHeight="1" thickBot="1" x14ac:dyDescent="0.25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</row>
    <row r="152" spans="1:46" ht="6.6" customHeight="1" x14ac:dyDescent="0.2">
      <c r="A152" s="164"/>
      <c r="B152" s="725" t="s">
        <v>278</v>
      </c>
      <c r="C152" s="620"/>
      <c r="D152" s="620"/>
      <c r="E152" s="620"/>
      <c r="F152" s="620"/>
      <c r="G152" s="620"/>
      <c r="H152" s="620"/>
      <c r="I152" s="620"/>
      <c r="J152" s="620"/>
      <c r="K152" s="620"/>
      <c r="L152" s="620"/>
      <c r="M152" s="620"/>
      <c r="N152" s="620"/>
      <c r="O152" s="620"/>
      <c r="P152" s="620"/>
      <c r="Q152" s="620"/>
      <c r="R152" s="620"/>
      <c r="S152" s="620"/>
      <c r="T152" s="620"/>
      <c r="U152" s="620"/>
      <c r="V152" s="620"/>
      <c r="W152" s="621"/>
      <c r="Y152" s="720" t="s">
        <v>290</v>
      </c>
      <c r="Z152" s="620"/>
      <c r="AA152" s="620"/>
      <c r="AB152" s="620"/>
      <c r="AC152" s="620"/>
      <c r="AD152" s="620"/>
      <c r="AE152" s="620"/>
      <c r="AF152" s="620"/>
      <c r="AG152" s="620"/>
      <c r="AH152" s="620"/>
      <c r="AI152" s="620"/>
      <c r="AJ152" s="620"/>
      <c r="AK152" s="620"/>
      <c r="AL152" s="620"/>
      <c r="AM152" s="620"/>
      <c r="AN152" s="620"/>
      <c r="AO152" s="620"/>
      <c r="AP152" s="620"/>
      <c r="AQ152" s="620"/>
      <c r="AR152" s="620"/>
      <c r="AS152" s="620"/>
      <c r="AT152" s="621"/>
    </row>
    <row r="153" spans="1:46" ht="6.6" customHeight="1" x14ac:dyDescent="0.2">
      <c r="A153" s="168"/>
      <c r="B153" s="335"/>
      <c r="C153" s="335"/>
      <c r="D153" s="335"/>
      <c r="E153" s="335"/>
      <c r="F153" s="335"/>
      <c r="G153" s="335"/>
      <c r="H153" s="335"/>
      <c r="I153" s="335"/>
      <c r="J153" s="335"/>
      <c r="K153" s="335"/>
      <c r="L153" s="335"/>
      <c r="M153" s="335"/>
      <c r="N153" s="335"/>
      <c r="O153" s="335"/>
      <c r="P153" s="335"/>
      <c r="Q153" s="335"/>
      <c r="R153" s="335"/>
      <c r="S153" s="335"/>
      <c r="T153" s="335"/>
      <c r="U153" s="335"/>
      <c r="V153" s="335"/>
      <c r="W153" s="623"/>
      <c r="Y153" s="622"/>
      <c r="Z153" s="335"/>
      <c r="AA153" s="335"/>
      <c r="AB153" s="335"/>
      <c r="AC153" s="335"/>
      <c r="AD153" s="335"/>
      <c r="AE153" s="335"/>
      <c r="AF153" s="335"/>
      <c r="AG153" s="335"/>
      <c r="AH153" s="335"/>
      <c r="AI153" s="335"/>
      <c r="AJ153" s="335"/>
      <c r="AK153" s="335"/>
      <c r="AL153" s="335"/>
      <c r="AM153" s="335"/>
      <c r="AN153" s="335"/>
      <c r="AO153" s="335"/>
      <c r="AP153" s="335"/>
      <c r="AQ153" s="335"/>
      <c r="AR153" s="335"/>
      <c r="AS153" s="335"/>
      <c r="AT153" s="623"/>
    </row>
    <row r="154" spans="1:46" ht="6.6" customHeight="1" x14ac:dyDescent="0.2">
      <c r="A154" s="168"/>
      <c r="B154" s="335"/>
      <c r="C154" s="335"/>
      <c r="D154" s="335"/>
      <c r="E154" s="335"/>
      <c r="F154" s="335"/>
      <c r="G154" s="335"/>
      <c r="H154" s="335"/>
      <c r="I154" s="335"/>
      <c r="J154" s="335"/>
      <c r="K154" s="335"/>
      <c r="L154" s="335"/>
      <c r="M154" s="335"/>
      <c r="N154" s="335"/>
      <c r="O154" s="335"/>
      <c r="P154" s="335"/>
      <c r="Q154" s="335"/>
      <c r="R154" s="335"/>
      <c r="S154" s="335"/>
      <c r="T154" s="335"/>
      <c r="U154" s="335"/>
      <c r="V154" s="335"/>
      <c r="W154" s="623"/>
      <c r="Y154" s="622"/>
      <c r="Z154" s="335"/>
      <c r="AA154" s="335"/>
      <c r="AB154" s="335"/>
      <c r="AC154" s="335"/>
      <c r="AD154" s="335"/>
      <c r="AE154" s="335"/>
      <c r="AF154" s="335"/>
      <c r="AG154" s="335"/>
      <c r="AH154" s="335"/>
      <c r="AI154" s="335"/>
      <c r="AJ154" s="335"/>
      <c r="AK154" s="335"/>
      <c r="AL154" s="335"/>
      <c r="AM154" s="335"/>
      <c r="AN154" s="335"/>
      <c r="AO154" s="335"/>
      <c r="AP154" s="335"/>
      <c r="AQ154" s="335"/>
      <c r="AR154" s="335"/>
      <c r="AS154" s="335"/>
      <c r="AT154" s="623"/>
    </row>
    <row r="155" spans="1:46" ht="6.6" customHeight="1" x14ac:dyDescent="0.2">
      <c r="A155" s="168"/>
      <c r="B155" s="280" t="s">
        <v>279</v>
      </c>
      <c r="C155" s="442"/>
      <c r="D155" s="442"/>
      <c r="E155" s="442"/>
      <c r="F155" s="442"/>
      <c r="G155" s="442"/>
      <c r="H155" s="442"/>
      <c r="I155" s="442"/>
      <c r="J155" s="442"/>
      <c r="K155" s="64"/>
      <c r="L155" s="644"/>
      <c r="M155" s="644"/>
      <c r="N155" s="644"/>
      <c r="O155" s="644"/>
      <c r="P155" s="644"/>
      <c r="Q155" s="644"/>
      <c r="R155" s="644"/>
      <c r="S155" s="64"/>
      <c r="T155" s="64"/>
      <c r="U155" s="64"/>
      <c r="V155" s="64"/>
      <c r="W155" s="169"/>
      <c r="Y155" s="168"/>
      <c r="Z155" s="280" t="s">
        <v>286</v>
      </c>
      <c r="AA155" s="442"/>
      <c r="AB155" s="442"/>
      <c r="AC155" s="442"/>
      <c r="AD155" s="442"/>
      <c r="AE155" s="442"/>
      <c r="AF155" s="442"/>
      <c r="AG155" s="442"/>
      <c r="AH155" s="442"/>
      <c r="AI155" s="64"/>
      <c r="AJ155" s="711"/>
      <c r="AK155" s="711"/>
      <c r="AL155" s="711"/>
      <c r="AM155" s="711"/>
      <c r="AN155" s="711"/>
      <c r="AO155" s="711"/>
      <c r="AP155" s="711"/>
      <c r="AQ155" s="64"/>
      <c r="AR155" s="64"/>
      <c r="AS155" s="64"/>
      <c r="AT155" s="169"/>
    </row>
    <row r="156" spans="1:46" ht="6.6" customHeight="1" x14ac:dyDescent="0.2">
      <c r="A156" s="168"/>
      <c r="B156" s="442"/>
      <c r="C156" s="442"/>
      <c r="D156" s="442"/>
      <c r="E156" s="442"/>
      <c r="F156" s="442"/>
      <c r="G156" s="442"/>
      <c r="H156" s="442"/>
      <c r="I156" s="442"/>
      <c r="J156" s="442"/>
      <c r="K156" s="64"/>
      <c r="L156" s="645"/>
      <c r="M156" s="645"/>
      <c r="N156" s="645"/>
      <c r="O156" s="645"/>
      <c r="P156" s="645"/>
      <c r="Q156" s="645"/>
      <c r="R156" s="645"/>
      <c r="S156" s="64"/>
      <c r="T156" s="64"/>
      <c r="U156" s="64"/>
      <c r="V156" s="64"/>
      <c r="W156" s="169"/>
      <c r="Y156" s="168"/>
      <c r="Z156" s="442"/>
      <c r="AA156" s="442"/>
      <c r="AB156" s="442"/>
      <c r="AC156" s="442"/>
      <c r="AD156" s="442"/>
      <c r="AE156" s="442"/>
      <c r="AF156" s="442"/>
      <c r="AG156" s="442"/>
      <c r="AH156" s="442"/>
      <c r="AI156" s="64"/>
      <c r="AJ156" s="712"/>
      <c r="AK156" s="712"/>
      <c r="AL156" s="712"/>
      <c r="AM156" s="712"/>
      <c r="AN156" s="712"/>
      <c r="AO156" s="712"/>
      <c r="AP156" s="712"/>
      <c r="AQ156" s="64"/>
      <c r="AR156" s="64"/>
      <c r="AS156" s="64"/>
      <c r="AT156" s="169"/>
    </row>
    <row r="157" spans="1:46" ht="6.6" customHeight="1" x14ac:dyDescent="0.2">
      <c r="A157" s="168"/>
      <c r="B157" s="280" t="s">
        <v>280</v>
      </c>
      <c r="C157" s="442"/>
      <c r="D157" s="442"/>
      <c r="E157" s="442"/>
      <c r="F157" s="442"/>
      <c r="G157" s="442"/>
      <c r="H157" s="442"/>
      <c r="I157" s="442"/>
      <c r="J157" s="442"/>
      <c r="K157" s="64"/>
      <c r="L157" s="644"/>
      <c r="M157" s="644"/>
      <c r="N157" s="644"/>
      <c r="O157" s="644"/>
      <c r="P157" s="644"/>
      <c r="Q157" s="644"/>
      <c r="R157" s="644"/>
      <c r="S157" s="64"/>
      <c r="T157" s="64"/>
      <c r="U157" s="64"/>
      <c r="V157" s="64"/>
      <c r="W157" s="169"/>
      <c r="Y157" s="168"/>
      <c r="Z157" s="280" t="s">
        <v>287</v>
      </c>
      <c r="AA157" s="442"/>
      <c r="AB157" s="442"/>
      <c r="AC157" s="442"/>
      <c r="AD157" s="442"/>
      <c r="AE157" s="442"/>
      <c r="AF157" s="442"/>
      <c r="AG157" s="442"/>
      <c r="AH157" s="442"/>
      <c r="AI157" s="64"/>
      <c r="AJ157" s="711"/>
      <c r="AK157" s="711"/>
      <c r="AL157" s="711"/>
      <c r="AM157" s="711"/>
      <c r="AN157" s="711"/>
      <c r="AO157" s="711"/>
      <c r="AP157" s="711"/>
      <c r="AQ157" s="64"/>
      <c r="AR157" s="64"/>
      <c r="AS157" s="64"/>
      <c r="AT157" s="169"/>
    </row>
    <row r="158" spans="1:46" ht="6.6" customHeight="1" x14ac:dyDescent="0.2">
      <c r="A158" s="168"/>
      <c r="B158" s="442"/>
      <c r="C158" s="442"/>
      <c r="D158" s="442"/>
      <c r="E158" s="442"/>
      <c r="F158" s="442"/>
      <c r="G158" s="442"/>
      <c r="H158" s="442"/>
      <c r="I158" s="442"/>
      <c r="J158" s="442"/>
      <c r="K158" s="64"/>
      <c r="L158" s="645"/>
      <c r="M158" s="645"/>
      <c r="N158" s="645"/>
      <c r="O158" s="645"/>
      <c r="P158" s="645"/>
      <c r="Q158" s="645"/>
      <c r="R158" s="645"/>
      <c r="S158" s="64"/>
      <c r="T158" s="64"/>
      <c r="U158" s="64"/>
      <c r="V158" s="64"/>
      <c r="W158" s="169"/>
      <c r="Y158" s="168"/>
      <c r="Z158" s="442"/>
      <c r="AA158" s="442"/>
      <c r="AB158" s="442"/>
      <c r="AC158" s="442"/>
      <c r="AD158" s="442"/>
      <c r="AE158" s="442"/>
      <c r="AF158" s="442"/>
      <c r="AG158" s="442"/>
      <c r="AH158" s="442"/>
      <c r="AI158" s="64"/>
      <c r="AJ158" s="712"/>
      <c r="AK158" s="712"/>
      <c r="AL158" s="712"/>
      <c r="AM158" s="712"/>
      <c r="AN158" s="712"/>
      <c r="AO158" s="712"/>
      <c r="AP158" s="712"/>
      <c r="AQ158" s="64"/>
      <c r="AR158" s="64"/>
      <c r="AS158" s="64"/>
      <c r="AT158" s="169"/>
    </row>
    <row r="159" spans="1:46" ht="6.6" customHeight="1" x14ac:dyDescent="0.2">
      <c r="A159" s="168"/>
      <c r="B159" s="280" t="s">
        <v>281</v>
      </c>
      <c r="C159" s="442"/>
      <c r="D159" s="442"/>
      <c r="E159" s="442"/>
      <c r="F159" s="442"/>
      <c r="G159" s="442"/>
      <c r="H159" s="442"/>
      <c r="I159" s="442"/>
      <c r="J159" s="442"/>
      <c r="K159" s="64"/>
      <c r="L159" s="642" t="str">
        <f>IF(L155,L155-L157,"")</f>
        <v/>
      </c>
      <c r="M159" s="642"/>
      <c r="N159" s="642"/>
      <c r="O159" s="642"/>
      <c r="P159" s="642"/>
      <c r="Q159" s="642"/>
      <c r="R159" s="642"/>
      <c r="S159" s="64"/>
      <c r="T159" s="64"/>
      <c r="U159" s="64"/>
      <c r="V159" s="64"/>
      <c r="W159" s="169"/>
      <c r="Y159" s="168"/>
      <c r="Z159" s="280" t="s">
        <v>52</v>
      </c>
      <c r="AA159" s="442"/>
      <c r="AB159" s="442"/>
      <c r="AC159" s="442"/>
      <c r="AD159" s="442"/>
      <c r="AE159" s="442"/>
      <c r="AF159" s="442"/>
      <c r="AG159" s="442"/>
      <c r="AH159" s="442"/>
      <c r="AI159" s="64"/>
      <c r="AJ159" s="646" t="str">
        <f>IF(AJ155,AJ155-AJ157,"")</f>
        <v/>
      </c>
      <c r="AK159" s="646"/>
      <c r="AL159" s="646"/>
      <c r="AM159" s="646"/>
      <c r="AN159" s="646"/>
      <c r="AO159" s="646"/>
      <c r="AP159" s="646"/>
      <c r="AQ159" s="64"/>
      <c r="AR159" s="64"/>
      <c r="AS159" s="64"/>
      <c r="AT159" s="169"/>
    </row>
    <row r="160" spans="1:46" ht="6.6" customHeight="1" x14ac:dyDescent="0.2">
      <c r="A160" s="168"/>
      <c r="B160" s="442"/>
      <c r="C160" s="442"/>
      <c r="D160" s="442"/>
      <c r="E160" s="442"/>
      <c r="F160" s="442"/>
      <c r="G160" s="442"/>
      <c r="H160" s="442"/>
      <c r="I160" s="442"/>
      <c r="J160" s="442"/>
      <c r="K160" s="64"/>
      <c r="L160" s="643"/>
      <c r="M160" s="643"/>
      <c r="N160" s="643"/>
      <c r="O160" s="643"/>
      <c r="P160" s="643"/>
      <c r="Q160" s="643"/>
      <c r="R160" s="643"/>
      <c r="S160" s="64"/>
      <c r="T160" s="64"/>
      <c r="U160" s="64"/>
      <c r="V160" s="64"/>
      <c r="W160" s="169"/>
      <c r="Y160" s="168"/>
      <c r="Z160" s="442"/>
      <c r="AA160" s="442"/>
      <c r="AB160" s="442"/>
      <c r="AC160" s="442"/>
      <c r="AD160" s="442"/>
      <c r="AE160" s="442"/>
      <c r="AF160" s="442"/>
      <c r="AG160" s="442"/>
      <c r="AH160" s="442"/>
      <c r="AI160" s="64"/>
      <c r="AJ160" s="647"/>
      <c r="AK160" s="647"/>
      <c r="AL160" s="647"/>
      <c r="AM160" s="647"/>
      <c r="AN160" s="647"/>
      <c r="AO160" s="647"/>
      <c r="AP160" s="647"/>
      <c r="AQ160" s="64"/>
      <c r="AR160" s="64"/>
      <c r="AS160" s="64"/>
      <c r="AT160" s="169"/>
    </row>
    <row r="161" spans="1:46" ht="6.6" customHeight="1" x14ac:dyDescent="0.2">
      <c r="A161" s="168"/>
      <c r="B161" s="280" t="s">
        <v>282</v>
      </c>
      <c r="C161" s="442"/>
      <c r="D161" s="442"/>
      <c r="E161" s="442"/>
      <c r="F161" s="442"/>
      <c r="G161" s="442"/>
      <c r="H161" s="442"/>
      <c r="I161" s="442"/>
      <c r="J161" s="442"/>
      <c r="K161" s="64"/>
      <c r="L161" s="644"/>
      <c r="M161" s="644"/>
      <c r="N161" s="644"/>
      <c r="O161" s="644"/>
      <c r="P161" s="644"/>
      <c r="Q161" s="644"/>
      <c r="R161" s="644"/>
      <c r="S161" s="64"/>
      <c r="T161" s="64"/>
      <c r="U161" s="64"/>
      <c r="V161" s="64"/>
      <c r="W161" s="169"/>
      <c r="Y161" s="168"/>
      <c r="Z161" s="280" t="s">
        <v>288</v>
      </c>
      <c r="AA161" s="442"/>
      <c r="AB161" s="442"/>
      <c r="AC161" s="442"/>
      <c r="AD161" s="442"/>
      <c r="AE161" s="442"/>
      <c r="AF161" s="442"/>
      <c r="AG161" s="442"/>
      <c r="AH161" s="442"/>
      <c r="AI161" s="64"/>
      <c r="AJ161" s="711"/>
      <c r="AK161" s="711"/>
      <c r="AL161" s="711"/>
      <c r="AM161" s="711"/>
      <c r="AN161" s="711"/>
      <c r="AO161" s="711"/>
      <c r="AP161" s="711"/>
      <c r="AQ161" s="64"/>
      <c r="AR161" s="64"/>
      <c r="AS161" s="64"/>
      <c r="AT161" s="169"/>
    </row>
    <row r="162" spans="1:46" ht="6.6" customHeight="1" x14ac:dyDescent="0.2">
      <c r="A162" s="168"/>
      <c r="B162" s="442"/>
      <c r="C162" s="442"/>
      <c r="D162" s="442"/>
      <c r="E162" s="442"/>
      <c r="F162" s="442"/>
      <c r="G162" s="442"/>
      <c r="H162" s="442"/>
      <c r="I162" s="442"/>
      <c r="J162" s="442"/>
      <c r="K162" s="64"/>
      <c r="L162" s="645"/>
      <c r="M162" s="645"/>
      <c r="N162" s="645"/>
      <c r="O162" s="645"/>
      <c r="P162" s="645"/>
      <c r="Q162" s="645"/>
      <c r="R162" s="645"/>
      <c r="S162" s="64"/>
      <c r="T162" s="64"/>
      <c r="U162" s="64"/>
      <c r="V162" s="64"/>
      <c r="W162" s="169"/>
      <c r="Y162" s="168"/>
      <c r="Z162" s="442"/>
      <c r="AA162" s="442"/>
      <c r="AB162" s="442"/>
      <c r="AC162" s="442"/>
      <c r="AD162" s="442"/>
      <c r="AE162" s="442"/>
      <c r="AF162" s="442"/>
      <c r="AG162" s="442"/>
      <c r="AH162" s="442"/>
      <c r="AI162" s="64"/>
      <c r="AJ162" s="712"/>
      <c r="AK162" s="712"/>
      <c r="AL162" s="712"/>
      <c r="AM162" s="712"/>
      <c r="AN162" s="712"/>
      <c r="AO162" s="712"/>
      <c r="AP162" s="712"/>
      <c r="AQ162" s="64"/>
      <c r="AR162" s="64"/>
      <c r="AS162" s="64"/>
      <c r="AT162" s="169"/>
    </row>
    <row r="163" spans="1:46" ht="6.6" customHeight="1" x14ac:dyDescent="0.2">
      <c r="A163" s="168"/>
      <c r="B163" s="280" t="s">
        <v>280</v>
      </c>
      <c r="C163" s="442"/>
      <c r="D163" s="442"/>
      <c r="E163" s="442"/>
      <c r="F163" s="442"/>
      <c r="G163" s="442"/>
      <c r="H163" s="442"/>
      <c r="I163" s="442"/>
      <c r="J163" s="442"/>
      <c r="K163" s="64"/>
      <c r="L163" s="644"/>
      <c r="M163" s="644"/>
      <c r="N163" s="644"/>
      <c r="O163" s="644"/>
      <c r="P163" s="644"/>
      <c r="Q163" s="644"/>
      <c r="R163" s="644"/>
      <c r="S163" s="64"/>
      <c r="T163" s="64"/>
      <c r="U163" s="64"/>
      <c r="V163" s="64"/>
      <c r="W163" s="169"/>
      <c r="Y163" s="168"/>
      <c r="Z163" s="280" t="s">
        <v>56</v>
      </c>
      <c r="AA163" s="442"/>
      <c r="AB163" s="442"/>
      <c r="AC163" s="442"/>
      <c r="AD163" s="442"/>
      <c r="AE163" s="442"/>
      <c r="AF163" s="442"/>
      <c r="AG163" s="442"/>
      <c r="AH163" s="442"/>
      <c r="AI163" s="64"/>
      <c r="AJ163" s="646" t="str">
        <f>IF(AJ157,AJ157-AJ161,"")</f>
        <v/>
      </c>
      <c r="AK163" s="646"/>
      <c r="AL163" s="646"/>
      <c r="AM163" s="646"/>
      <c r="AN163" s="646"/>
      <c r="AO163" s="646"/>
      <c r="AP163" s="646"/>
      <c r="AQ163" s="64"/>
      <c r="AR163" s="64"/>
      <c r="AS163" s="64"/>
      <c r="AT163" s="169"/>
    </row>
    <row r="164" spans="1:46" ht="6.6" customHeight="1" x14ac:dyDescent="0.2">
      <c r="A164" s="168"/>
      <c r="B164" s="442"/>
      <c r="C164" s="442"/>
      <c r="D164" s="442"/>
      <c r="E164" s="442"/>
      <c r="F164" s="442"/>
      <c r="G164" s="442"/>
      <c r="H164" s="442"/>
      <c r="I164" s="442"/>
      <c r="J164" s="442"/>
      <c r="K164" s="64"/>
      <c r="L164" s="645"/>
      <c r="M164" s="645"/>
      <c r="N164" s="645"/>
      <c r="O164" s="645"/>
      <c r="P164" s="645"/>
      <c r="Q164" s="645"/>
      <c r="R164" s="645"/>
      <c r="S164" s="64"/>
      <c r="T164" s="64"/>
      <c r="U164" s="64"/>
      <c r="V164" s="64"/>
      <c r="W164" s="169"/>
      <c r="Y164" s="168"/>
      <c r="Z164" s="442"/>
      <c r="AA164" s="442"/>
      <c r="AB164" s="442"/>
      <c r="AC164" s="442"/>
      <c r="AD164" s="442"/>
      <c r="AE164" s="442"/>
      <c r="AF164" s="442"/>
      <c r="AG164" s="442"/>
      <c r="AH164" s="442"/>
      <c r="AI164" s="64"/>
      <c r="AJ164" s="647"/>
      <c r="AK164" s="647"/>
      <c r="AL164" s="647"/>
      <c r="AM164" s="647"/>
      <c r="AN164" s="647"/>
      <c r="AO164" s="647"/>
      <c r="AP164" s="647"/>
      <c r="AQ164" s="64"/>
      <c r="AR164" s="64"/>
      <c r="AS164" s="64"/>
      <c r="AT164" s="169"/>
    </row>
    <row r="165" spans="1:46" ht="6.6" customHeight="1" x14ac:dyDescent="0.2">
      <c r="A165" s="168"/>
      <c r="B165" s="280" t="s">
        <v>283</v>
      </c>
      <c r="C165" s="442"/>
      <c r="D165" s="442"/>
      <c r="E165" s="442"/>
      <c r="F165" s="442"/>
      <c r="G165" s="442"/>
      <c r="H165" s="442"/>
      <c r="I165" s="442"/>
      <c r="J165" s="442"/>
      <c r="K165" s="64"/>
      <c r="L165" s="642" t="str">
        <f>IF(L161,L161-L163,"")</f>
        <v/>
      </c>
      <c r="M165" s="642"/>
      <c r="N165" s="642"/>
      <c r="O165" s="642"/>
      <c r="P165" s="642"/>
      <c r="Q165" s="642"/>
      <c r="R165" s="642"/>
      <c r="S165" s="280"/>
      <c r="T165" s="442"/>
      <c r="U165" s="442"/>
      <c r="V165" s="442"/>
      <c r="W165" s="602"/>
      <c r="Y165" s="168"/>
      <c r="Z165" s="280" t="s">
        <v>57</v>
      </c>
      <c r="AA165" s="442"/>
      <c r="AB165" s="442"/>
      <c r="AC165" s="442"/>
      <c r="AD165" s="442"/>
      <c r="AE165" s="442"/>
      <c r="AF165" s="442"/>
      <c r="AG165" s="442"/>
      <c r="AH165" s="442"/>
      <c r="AI165" s="64"/>
      <c r="AJ165" s="646" t="str">
        <f>IF(AJ159&lt;&gt;"",ROUND(AJ159/AJ163*100,1),"")</f>
        <v/>
      </c>
      <c r="AK165" s="646"/>
      <c r="AL165" s="646"/>
      <c r="AM165" s="646"/>
      <c r="AN165" s="646"/>
      <c r="AO165" s="646"/>
      <c r="AP165" s="646"/>
      <c r="AQ165" s="65"/>
      <c r="AR165" s="65"/>
      <c r="AS165" s="65"/>
      <c r="AT165" s="174"/>
    </row>
    <row r="166" spans="1:46" ht="6.6" customHeight="1" x14ac:dyDescent="0.2">
      <c r="A166" s="168"/>
      <c r="B166" s="442"/>
      <c r="C166" s="442"/>
      <c r="D166" s="442"/>
      <c r="E166" s="442"/>
      <c r="F166" s="442"/>
      <c r="G166" s="442"/>
      <c r="H166" s="442"/>
      <c r="I166" s="442"/>
      <c r="J166" s="442"/>
      <c r="K166" s="64"/>
      <c r="L166" s="643"/>
      <c r="M166" s="643"/>
      <c r="N166" s="643"/>
      <c r="O166" s="643"/>
      <c r="P166" s="643"/>
      <c r="Q166" s="643"/>
      <c r="R166" s="643"/>
      <c r="S166" s="442"/>
      <c r="T166" s="442"/>
      <c r="U166" s="442"/>
      <c r="V166" s="442"/>
      <c r="W166" s="602"/>
      <c r="Y166" s="168"/>
      <c r="Z166" s="442"/>
      <c r="AA166" s="442"/>
      <c r="AB166" s="442"/>
      <c r="AC166" s="442"/>
      <c r="AD166" s="442"/>
      <c r="AE166" s="442"/>
      <c r="AF166" s="442"/>
      <c r="AG166" s="442"/>
      <c r="AH166" s="442"/>
      <c r="AI166" s="64"/>
      <c r="AJ166" s="647"/>
      <c r="AK166" s="647"/>
      <c r="AL166" s="647"/>
      <c r="AM166" s="647"/>
      <c r="AN166" s="647"/>
      <c r="AO166" s="647"/>
      <c r="AP166" s="647"/>
      <c r="AQ166" s="65"/>
      <c r="AR166" s="65"/>
      <c r="AS166" s="65"/>
      <c r="AT166" s="174"/>
    </row>
    <row r="167" spans="1:46" ht="6.6" customHeight="1" x14ac:dyDescent="0.2">
      <c r="A167" s="168"/>
      <c r="B167" s="291"/>
      <c r="C167" s="291"/>
      <c r="D167" s="291"/>
      <c r="E167" s="291"/>
      <c r="F167" s="291"/>
      <c r="G167" s="291"/>
      <c r="H167" s="291"/>
      <c r="I167" s="291"/>
      <c r="J167" s="291"/>
      <c r="K167" s="291"/>
      <c r="L167" s="291" t="str">
        <f>IF(L159&lt;&gt;"",ROUND((L159-L165)/L159*100,0),"")</f>
        <v/>
      </c>
      <c r="M167" s="291"/>
      <c r="N167" s="291"/>
      <c r="O167" s="291"/>
      <c r="P167" s="291"/>
      <c r="Q167" s="291"/>
      <c r="R167" s="291"/>
      <c r="S167" s="280" t="s">
        <v>284</v>
      </c>
      <c r="T167" s="442"/>
      <c r="U167" s="442"/>
      <c r="V167" s="442"/>
      <c r="W167" s="602"/>
      <c r="Y167" s="175"/>
      <c r="Z167" s="63"/>
      <c r="AA167" s="63"/>
      <c r="AB167" s="63"/>
      <c r="AC167" s="63"/>
      <c r="AD167" s="63"/>
      <c r="AE167" s="63"/>
      <c r="AF167" s="63"/>
      <c r="AG167" s="63"/>
      <c r="AH167" s="63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169"/>
    </row>
    <row r="168" spans="1:46" ht="6.6" customHeight="1" x14ac:dyDescent="0.2">
      <c r="A168" s="168"/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321"/>
      <c r="M168" s="321"/>
      <c r="N168" s="321"/>
      <c r="O168" s="321"/>
      <c r="P168" s="321"/>
      <c r="Q168" s="321"/>
      <c r="R168" s="321"/>
      <c r="S168" s="442"/>
      <c r="T168" s="442"/>
      <c r="U168" s="442"/>
      <c r="V168" s="442"/>
      <c r="W168" s="602"/>
      <c r="Y168" s="175"/>
      <c r="Z168" s="63"/>
      <c r="AA168" s="63"/>
      <c r="AB168" s="63"/>
      <c r="AC168" s="63"/>
      <c r="AD168" s="63"/>
      <c r="AE168" s="63"/>
      <c r="AF168" s="63"/>
      <c r="AG168" s="63"/>
      <c r="AH168" s="63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169"/>
    </row>
    <row r="169" spans="1:46" ht="6.6" customHeight="1" x14ac:dyDescent="0.2">
      <c r="A169" s="168"/>
      <c r="B169" s="291"/>
      <c r="C169" s="291"/>
      <c r="D169" s="291"/>
      <c r="E169" s="291"/>
      <c r="F169" s="291"/>
      <c r="G169" s="291"/>
      <c r="H169" s="291"/>
      <c r="I169" s="291"/>
      <c r="J169" s="291"/>
      <c r="K169" s="291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169"/>
      <c r="Y169" s="168"/>
      <c r="Z169" s="280" t="s">
        <v>269</v>
      </c>
      <c r="AA169" s="280"/>
      <c r="AB169" s="280"/>
      <c r="AC169" s="280"/>
      <c r="AD169" s="276"/>
      <c r="AE169" s="276"/>
      <c r="AF169" s="276"/>
      <c r="AG169" s="276"/>
      <c r="AH169" s="276"/>
      <c r="AI169" s="276"/>
      <c r="AJ169" s="276"/>
      <c r="AK169" s="276"/>
      <c r="AL169" s="64"/>
      <c r="AM169" s="280" t="s">
        <v>270</v>
      </c>
      <c r="AN169" s="280"/>
      <c r="AO169" s="440"/>
      <c r="AP169" s="440"/>
      <c r="AQ169" s="440"/>
      <c r="AR169" s="440"/>
      <c r="AS169" s="440"/>
      <c r="AT169" s="169"/>
    </row>
    <row r="170" spans="1:46" ht="6.6" customHeight="1" x14ac:dyDescent="0.2">
      <c r="A170" s="168"/>
      <c r="B170" s="291"/>
      <c r="C170" s="291"/>
      <c r="D170" s="291"/>
      <c r="E170" s="291"/>
      <c r="F170" s="291"/>
      <c r="G170" s="291"/>
      <c r="H170" s="291"/>
      <c r="I170" s="291"/>
      <c r="J170" s="291"/>
      <c r="K170" s="291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169"/>
      <c r="Y170" s="168"/>
      <c r="Z170" s="280"/>
      <c r="AA170" s="280"/>
      <c r="AB170" s="280"/>
      <c r="AC170" s="280"/>
      <c r="AD170" s="279"/>
      <c r="AE170" s="279"/>
      <c r="AF170" s="279"/>
      <c r="AG170" s="279"/>
      <c r="AH170" s="279"/>
      <c r="AI170" s="279"/>
      <c r="AJ170" s="279"/>
      <c r="AK170" s="279"/>
      <c r="AL170" s="64"/>
      <c r="AM170" s="280"/>
      <c r="AN170" s="280"/>
      <c r="AO170" s="599"/>
      <c r="AP170" s="599"/>
      <c r="AQ170" s="599"/>
      <c r="AR170" s="599"/>
      <c r="AS170" s="599"/>
      <c r="AT170" s="169"/>
    </row>
    <row r="171" spans="1:46" ht="6.6" customHeight="1" x14ac:dyDescent="0.2">
      <c r="A171" s="168"/>
      <c r="B171" s="280" t="s">
        <v>269</v>
      </c>
      <c r="C171" s="280"/>
      <c r="D171" s="280"/>
      <c r="E171" s="280"/>
      <c r="F171" s="276"/>
      <c r="G171" s="276"/>
      <c r="H171" s="276"/>
      <c r="I171" s="276"/>
      <c r="J171" s="276"/>
      <c r="K171" s="276"/>
      <c r="L171" s="276"/>
      <c r="M171" s="276"/>
      <c r="N171" s="276"/>
      <c r="O171" s="64"/>
      <c r="P171" s="280" t="s">
        <v>270</v>
      </c>
      <c r="Q171" s="280"/>
      <c r="R171" s="440"/>
      <c r="S171" s="440"/>
      <c r="T171" s="440"/>
      <c r="U171" s="440"/>
      <c r="V171" s="440"/>
      <c r="W171" s="169"/>
      <c r="Y171" s="168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169"/>
    </row>
    <row r="172" spans="1:46" ht="6.6" customHeight="1" x14ac:dyDescent="0.2">
      <c r="A172" s="168"/>
      <c r="B172" s="280"/>
      <c r="C172" s="280"/>
      <c r="D172" s="280"/>
      <c r="E172" s="280"/>
      <c r="F172" s="279"/>
      <c r="G172" s="279"/>
      <c r="H172" s="279"/>
      <c r="I172" s="279"/>
      <c r="J172" s="279"/>
      <c r="K172" s="279"/>
      <c r="L172" s="279"/>
      <c r="M172" s="279"/>
      <c r="N172" s="279"/>
      <c r="O172" s="64"/>
      <c r="P172" s="280"/>
      <c r="Q172" s="280"/>
      <c r="R172" s="599"/>
      <c r="S172" s="599"/>
      <c r="T172" s="599"/>
      <c r="U172" s="599"/>
      <c r="V172" s="599"/>
      <c r="W172" s="169"/>
      <c r="Y172" s="168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169"/>
    </row>
    <row r="173" spans="1:46" ht="6.6" customHeight="1" x14ac:dyDescent="0.2">
      <c r="A173" s="168"/>
      <c r="B173" s="280" t="s">
        <v>285</v>
      </c>
      <c r="C173" s="280"/>
      <c r="D173" s="280"/>
      <c r="E173" s="280"/>
      <c r="F173" s="276"/>
      <c r="G173" s="276"/>
      <c r="H173" s="276"/>
      <c r="I173" s="276"/>
      <c r="J173" s="276"/>
      <c r="K173" s="276"/>
      <c r="L173" s="276"/>
      <c r="M173" s="276"/>
      <c r="N173" s="276"/>
      <c r="O173" s="64"/>
      <c r="P173" s="280" t="s">
        <v>270</v>
      </c>
      <c r="Q173" s="280"/>
      <c r="R173" s="440"/>
      <c r="S173" s="440"/>
      <c r="T173" s="440"/>
      <c r="U173" s="440"/>
      <c r="V173" s="440"/>
      <c r="W173" s="169"/>
      <c r="Y173" s="168"/>
      <c r="Z173" s="280" t="s">
        <v>285</v>
      </c>
      <c r="AA173" s="280"/>
      <c r="AB173" s="280"/>
      <c r="AC173" s="280"/>
      <c r="AD173" s="276"/>
      <c r="AE173" s="276"/>
      <c r="AF173" s="276"/>
      <c r="AG173" s="276"/>
      <c r="AH173" s="276"/>
      <c r="AI173" s="276"/>
      <c r="AJ173" s="276"/>
      <c r="AK173" s="276"/>
      <c r="AL173" s="64"/>
      <c r="AM173" s="280" t="s">
        <v>270</v>
      </c>
      <c r="AN173" s="280"/>
      <c r="AO173" s="440"/>
      <c r="AP173" s="440"/>
      <c r="AQ173" s="440"/>
      <c r="AR173" s="440"/>
      <c r="AS173" s="440"/>
      <c r="AT173" s="169"/>
    </row>
    <row r="174" spans="1:46" ht="6.6" customHeight="1" x14ac:dyDescent="0.2">
      <c r="A174" s="168"/>
      <c r="B174" s="280"/>
      <c r="C174" s="280"/>
      <c r="D174" s="280"/>
      <c r="E174" s="280"/>
      <c r="F174" s="279"/>
      <c r="G174" s="279"/>
      <c r="H174" s="279"/>
      <c r="I174" s="279"/>
      <c r="J174" s="279"/>
      <c r="K174" s="279"/>
      <c r="L174" s="279"/>
      <c r="M174" s="279"/>
      <c r="N174" s="279"/>
      <c r="O174" s="64"/>
      <c r="P174" s="280"/>
      <c r="Q174" s="280"/>
      <c r="R174" s="599"/>
      <c r="S174" s="599"/>
      <c r="T174" s="599"/>
      <c r="U174" s="599"/>
      <c r="V174" s="599"/>
      <c r="W174" s="169"/>
      <c r="Y174" s="168"/>
      <c r="Z174" s="280"/>
      <c r="AA174" s="280"/>
      <c r="AB174" s="280"/>
      <c r="AC174" s="280"/>
      <c r="AD174" s="279"/>
      <c r="AE174" s="279"/>
      <c r="AF174" s="279"/>
      <c r="AG174" s="279"/>
      <c r="AH174" s="279"/>
      <c r="AI174" s="279"/>
      <c r="AJ174" s="279"/>
      <c r="AK174" s="279"/>
      <c r="AL174" s="64"/>
      <c r="AM174" s="280"/>
      <c r="AN174" s="280"/>
      <c r="AO174" s="599"/>
      <c r="AP174" s="599"/>
      <c r="AQ174" s="599"/>
      <c r="AR174" s="599"/>
      <c r="AS174" s="599"/>
      <c r="AT174" s="169"/>
    </row>
    <row r="175" spans="1:46" ht="6.6" customHeight="1" thickBot="1" x14ac:dyDescent="0.25">
      <c r="A175" s="171"/>
      <c r="B175" s="172"/>
      <c r="C175" s="172"/>
      <c r="D175" s="172"/>
      <c r="E175" s="172"/>
      <c r="F175" s="172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  <c r="R175" s="172"/>
      <c r="S175" s="172"/>
      <c r="T175" s="172"/>
      <c r="U175" s="172"/>
      <c r="V175" s="172"/>
      <c r="W175" s="173"/>
      <c r="Y175" s="171"/>
      <c r="Z175" s="172"/>
      <c r="AA175" s="172"/>
      <c r="AB175" s="172"/>
      <c r="AC175" s="172"/>
      <c r="AD175" s="172"/>
      <c r="AE175" s="172"/>
      <c r="AF175" s="172"/>
      <c r="AG175" s="172"/>
      <c r="AH175" s="172"/>
      <c r="AI175" s="172"/>
      <c r="AJ175" s="172"/>
      <c r="AK175" s="172"/>
      <c r="AL175" s="172"/>
      <c r="AM175" s="172"/>
      <c r="AN175" s="172"/>
      <c r="AO175" s="172"/>
      <c r="AP175" s="172"/>
      <c r="AQ175" s="172"/>
      <c r="AR175" s="172"/>
      <c r="AS175" s="172"/>
      <c r="AT175" s="173"/>
    </row>
    <row r="176" spans="1:46" ht="6.6" customHeight="1" x14ac:dyDescent="0.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</row>
    <row r="177" spans="1:46" ht="6.6" customHeight="1" thickBot="1" x14ac:dyDescent="0.25"/>
    <row r="178" spans="1:46" ht="6.6" customHeight="1" thickBot="1" x14ac:dyDescent="0.25">
      <c r="N178" s="634" t="s">
        <v>295</v>
      </c>
      <c r="O178" s="635"/>
      <c r="P178" s="635"/>
      <c r="Q178" s="635"/>
      <c r="R178" s="635"/>
      <c r="S178" s="635"/>
      <c r="T178" s="635"/>
      <c r="U178" s="635"/>
      <c r="V178" s="635"/>
      <c r="W178" s="635"/>
      <c r="X178" s="635"/>
      <c r="Y178" s="635"/>
      <c r="Z178" s="635"/>
      <c r="AA178" s="635"/>
      <c r="AB178" s="635"/>
      <c r="AC178" s="635"/>
      <c r="AD178" s="635"/>
      <c r="AE178" s="635"/>
      <c r="AF178" s="635"/>
      <c r="AG178" s="635"/>
      <c r="AH178" s="635"/>
      <c r="AI178" s="635"/>
      <c r="AJ178" s="635"/>
      <c r="AK178" s="635"/>
      <c r="AL178" s="635"/>
      <c r="AM178" s="635"/>
      <c r="AN178" s="635"/>
      <c r="AO178" s="635"/>
      <c r="AP178" s="635"/>
      <c r="AQ178" s="635"/>
      <c r="AR178" s="635"/>
      <c r="AS178" s="635"/>
      <c r="AT178" s="636"/>
    </row>
    <row r="179" spans="1:46" ht="6.6" customHeight="1" x14ac:dyDescent="0.2">
      <c r="A179" s="634" t="s">
        <v>289</v>
      </c>
      <c r="B179" s="635"/>
      <c r="C179" s="635"/>
      <c r="D179" s="635"/>
      <c r="E179" s="635"/>
      <c r="F179" s="635"/>
      <c r="G179" s="635"/>
      <c r="H179" s="635"/>
      <c r="I179" s="635"/>
      <c r="J179" s="635"/>
      <c r="K179" s="635"/>
      <c r="L179" s="636"/>
      <c r="N179" s="637"/>
      <c r="O179" s="438"/>
      <c r="P179" s="438"/>
      <c r="Q179" s="438"/>
      <c r="R179" s="438"/>
      <c r="S179" s="438"/>
      <c r="T179" s="438"/>
      <c r="U179" s="438"/>
      <c r="V179" s="438"/>
      <c r="W179" s="438"/>
      <c r="X179" s="438"/>
      <c r="Y179" s="438"/>
      <c r="Z179" s="438"/>
      <c r="AA179" s="438"/>
      <c r="AB179" s="438"/>
      <c r="AC179" s="438"/>
      <c r="AD179" s="438"/>
      <c r="AE179" s="438"/>
      <c r="AF179" s="438"/>
      <c r="AG179" s="438"/>
      <c r="AH179" s="438"/>
      <c r="AI179" s="438"/>
      <c r="AJ179" s="438"/>
      <c r="AK179" s="438"/>
      <c r="AL179" s="438"/>
      <c r="AM179" s="438"/>
      <c r="AN179" s="438"/>
      <c r="AO179" s="438"/>
      <c r="AP179" s="438"/>
      <c r="AQ179" s="438"/>
      <c r="AR179" s="438"/>
      <c r="AS179" s="438"/>
      <c r="AT179" s="638"/>
    </row>
    <row r="180" spans="1:46" ht="6.6" customHeight="1" x14ac:dyDescent="0.2">
      <c r="A180" s="637"/>
      <c r="B180" s="438"/>
      <c r="C180" s="438"/>
      <c r="D180" s="438"/>
      <c r="E180" s="438"/>
      <c r="F180" s="438"/>
      <c r="G180" s="438"/>
      <c r="H180" s="438"/>
      <c r="I180" s="438"/>
      <c r="J180" s="438"/>
      <c r="K180" s="438"/>
      <c r="L180" s="638"/>
      <c r="N180" s="637"/>
      <c r="O180" s="438"/>
      <c r="P180" s="438"/>
      <c r="Q180" s="438"/>
      <c r="R180" s="438"/>
      <c r="S180" s="438"/>
      <c r="T180" s="438"/>
      <c r="U180" s="438"/>
      <c r="V180" s="438"/>
      <c r="W180" s="438"/>
      <c r="X180" s="438"/>
      <c r="Y180" s="438"/>
      <c r="Z180" s="438"/>
      <c r="AA180" s="438"/>
      <c r="AB180" s="438"/>
      <c r="AC180" s="438"/>
      <c r="AD180" s="438"/>
      <c r="AE180" s="438"/>
      <c r="AF180" s="438"/>
      <c r="AG180" s="438"/>
      <c r="AH180" s="438"/>
      <c r="AI180" s="438"/>
      <c r="AJ180" s="438"/>
      <c r="AK180" s="438"/>
      <c r="AL180" s="438"/>
      <c r="AM180" s="438"/>
      <c r="AN180" s="438"/>
      <c r="AO180" s="438"/>
      <c r="AP180" s="438"/>
      <c r="AQ180" s="438"/>
      <c r="AR180" s="438"/>
      <c r="AS180" s="438"/>
      <c r="AT180" s="638"/>
    </row>
    <row r="181" spans="1:46" ht="6.6" customHeight="1" x14ac:dyDescent="0.2">
      <c r="A181" s="637"/>
      <c r="B181" s="438"/>
      <c r="C181" s="438"/>
      <c r="D181" s="438"/>
      <c r="E181" s="438"/>
      <c r="F181" s="438"/>
      <c r="G181" s="438"/>
      <c r="H181" s="438"/>
      <c r="I181" s="438"/>
      <c r="J181" s="438"/>
      <c r="K181" s="438"/>
      <c r="L181" s="638"/>
      <c r="N181" s="597" t="s">
        <v>296</v>
      </c>
      <c r="O181" s="280"/>
      <c r="P181" s="280"/>
      <c r="Q181" s="280"/>
      <c r="R181" s="280"/>
      <c r="S181" s="280"/>
      <c r="T181" s="280"/>
      <c r="U181" s="280"/>
      <c r="V181" s="276"/>
      <c r="W181" s="276"/>
      <c r="X181" s="276"/>
      <c r="Y181" s="276"/>
      <c r="Z181" s="276"/>
      <c r="AA181" s="64"/>
      <c r="AB181" s="280" t="s">
        <v>47</v>
      </c>
      <c r="AC181" s="280"/>
      <c r="AD181" s="280"/>
      <c r="AE181" s="280"/>
      <c r="AF181" s="291" t="str">
        <f>X92</f>
        <v/>
      </c>
      <c r="AG181" s="291"/>
      <c r="AH181" s="291"/>
      <c r="AI181" s="291"/>
      <c r="AJ181" s="291"/>
      <c r="AK181" s="64"/>
      <c r="AL181" s="280" t="s">
        <v>297</v>
      </c>
      <c r="AM181" s="291" t="str">
        <f>AE94</f>
        <v/>
      </c>
      <c r="AN181" s="291"/>
      <c r="AO181" s="291"/>
      <c r="AP181" s="291"/>
      <c r="AQ181" s="291"/>
      <c r="AR181" s="64"/>
      <c r="AS181" s="64"/>
      <c r="AT181" s="169"/>
    </row>
    <row r="182" spans="1:46" ht="6.6" customHeight="1" x14ac:dyDescent="0.2">
      <c r="A182" s="726" t="s">
        <v>202</v>
      </c>
      <c r="B182" s="397"/>
      <c r="C182" s="397"/>
      <c r="D182" s="397"/>
      <c r="E182" s="397"/>
      <c r="F182" s="310"/>
      <c r="G182" s="310"/>
      <c r="H182" s="310"/>
      <c r="I182" s="310"/>
      <c r="J182" s="310"/>
      <c r="K182" s="310"/>
      <c r="L182" s="639"/>
      <c r="N182" s="597"/>
      <c r="O182" s="280"/>
      <c r="P182" s="280"/>
      <c r="Q182" s="280"/>
      <c r="R182" s="280"/>
      <c r="S182" s="280"/>
      <c r="T182" s="280"/>
      <c r="U182" s="280"/>
      <c r="V182" s="279"/>
      <c r="W182" s="279"/>
      <c r="X182" s="279"/>
      <c r="Y182" s="279"/>
      <c r="Z182" s="279"/>
      <c r="AA182" s="64"/>
      <c r="AB182" s="280"/>
      <c r="AC182" s="280"/>
      <c r="AD182" s="280"/>
      <c r="AE182" s="280"/>
      <c r="AF182" s="321"/>
      <c r="AG182" s="321"/>
      <c r="AH182" s="321"/>
      <c r="AI182" s="321"/>
      <c r="AJ182" s="321"/>
      <c r="AK182" s="64"/>
      <c r="AL182" s="280"/>
      <c r="AM182" s="321"/>
      <c r="AN182" s="321"/>
      <c r="AO182" s="321"/>
      <c r="AP182" s="321"/>
      <c r="AQ182" s="321"/>
      <c r="AR182" s="64"/>
      <c r="AS182" s="64"/>
      <c r="AT182" s="169"/>
    </row>
    <row r="183" spans="1:46" ht="6.6" customHeight="1" x14ac:dyDescent="0.2">
      <c r="A183" s="727"/>
      <c r="B183" s="397"/>
      <c r="C183" s="397"/>
      <c r="D183" s="397"/>
      <c r="E183" s="397"/>
      <c r="F183" s="310"/>
      <c r="G183" s="310"/>
      <c r="H183" s="310"/>
      <c r="I183" s="310"/>
      <c r="J183" s="310"/>
      <c r="K183" s="310"/>
      <c r="L183" s="639"/>
      <c r="N183" s="177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386" t="str">
        <f>IF(V181,ROUND(V181*AF181/AM181,0),"")</f>
        <v/>
      </c>
      <c r="AG183" s="386"/>
      <c r="AH183" s="386"/>
      <c r="AI183" s="386"/>
      <c r="AJ183" s="386"/>
      <c r="AK183" s="292" t="s">
        <v>302</v>
      </c>
      <c r="AL183" s="64"/>
      <c r="AM183" s="64"/>
      <c r="AN183" s="64"/>
      <c r="AO183" s="64"/>
      <c r="AP183" s="64"/>
      <c r="AQ183" s="64"/>
      <c r="AR183" s="64"/>
      <c r="AS183" s="64"/>
      <c r="AT183" s="169"/>
    </row>
    <row r="184" spans="1:46" ht="6.6" customHeight="1" x14ac:dyDescent="0.2">
      <c r="A184" s="727"/>
      <c r="B184" s="397"/>
      <c r="C184" s="397"/>
      <c r="D184" s="397"/>
      <c r="E184" s="397"/>
      <c r="F184" s="310"/>
      <c r="G184" s="310"/>
      <c r="H184" s="310"/>
      <c r="I184" s="310"/>
      <c r="J184" s="310"/>
      <c r="K184" s="310"/>
      <c r="L184" s="639"/>
      <c r="N184" s="177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321"/>
      <c r="AG184" s="321"/>
      <c r="AH184" s="321"/>
      <c r="AI184" s="321"/>
      <c r="AJ184" s="321"/>
      <c r="AK184" s="292"/>
      <c r="AL184" s="64"/>
      <c r="AM184" s="64"/>
      <c r="AN184" s="64"/>
      <c r="AO184" s="64"/>
      <c r="AP184" s="64"/>
      <c r="AQ184" s="64"/>
      <c r="AR184" s="64"/>
      <c r="AS184" s="64"/>
      <c r="AT184" s="169"/>
    </row>
    <row r="185" spans="1:46" ht="6.6" customHeight="1" x14ac:dyDescent="0.2">
      <c r="A185" s="726" t="s">
        <v>291</v>
      </c>
      <c r="B185" s="397"/>
      <c r="C185" s="397"/>
      <c r="D185" s="397"/>
      <c r="E185" s="397"/>
      <c r="F185" s="723"/>
      <c r="G185" s="723"/>
      <c r="H185" s="723"/>
      <c r="I185" s="723"/>
      <c r="J185" s="723"/>
      <c r="K185" s="723"/>
      <c r="L185" s="724"/>
      <c r="N185" s="177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84"/>
      <c r="AL185" s="64"/>
      <c r="AM185" s="64"/>
      <c r="AN185" s="64"/>
      <c r="AO185" s="64"/>
      <c r="AP185" s="64"/>
      <c r="AQ185" s="64"/>
      <c r="AR185" s="64"/>
      <c r="AS185" s="64"/>
      <c r="AT185" s="169"/>
    </row>
    <row r="186" spans="1:46" ht="6.6" customHeight="1" x14ac:dyDescent="0.2">
      <c r="A186" s="727"/>
      <c r="B186" s="397"/>
      <c r="C186" s="397"/>
      <c r="D186" s="397"/>
      <c r="E186" s="397"/>
      <c r="F186" s="723"/>
      <c r="G186" s="723"/>
      <c r="H186" s="723"/>
      <c r="I186" s="723"/>
      <c r="J186" s="723"/>
      <c r="K186" s="723"/>
      <c r="L186" s="724"/>
      <c r="N186" s="177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3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169"/>
    </row>
    <row r="187" spans="1:46" ht="6.6" customHeight="1" x14ac:dyDescent="0.2">
      <c r="A187" s="727"/>
      <c r="B187" s="397"/>
      <c r="C187" s="397"/>
      <c r="D187" s="397"/>
      <c r="E187" s="397"/>
      <c r="F187" s="723"/>
      <c r="G187" s="723"/>
      <c r="H187" s="723"/>
      <c r="I187" s="723"/>
      <c r="J187" s="723"/>
      <c r="K187" s="723"/>
      <c r="L187" s="724"/>
      <c r="N187" s="714" t="s">
        <v>301</v>
      </c>
      <c r="O187" s="424"/>
      <c r="P187" s="424"/>
      <c r="Q187" s="424"/>
      <c r="R187" s="424"/>
      <c r="S187" s="424"/>
      <c r="T187" s="424"/>
      <c r="U187" s="424" t="s">
        <v>300</v>
      </c>
      <c r="V187" s="424"/>
      <c r="W187" s="424"/>
      <c r="X187" s="424"/>
      <c r="Y187" s="424"/>
      <c r="Z187" s="424"/>
      <c r="AA187" s="424"/>
      <c r="AB187" s="424"/>
      <c r="AC187" s="424"/>
      <c r="AD187" s="424" t="s">
        <v>301</v>
      </c>
      <c r="AE187" s="424"/>
      <c r="AF187" s="424"/>
      <c r="AG187" s="424"/>
      <c r="AH187" s="424"/>
      <c r="AI187" s="424"/>
      <c r="AJ187" s="424"/>
      <c r="AK187" s="424"/>
      <c r="AL187" s="424" t="s">
        <v>300</v>
      </c>
      <c r="AM187" s="424"/>
      <c r="AN187" s="424"/>
      <c r="AO187" s="424"/>
      <c r="AP187" s="424"/>
      <c r="AQ187" s="424"/>
      <c r="AR187" s="424"/>
      <c r="AS187" s="424"/>
      <c r="AT187" s="713"/>
    </row>
    <row r="188" spans="1:46" ht="6.6" customHeight="1" x14ac:dyDescent="0.2">
      <c r="A188" s="726" t="s">
        <v>292</v>
      </c>
      <c r="B188" s="397"/>
      <c r="C188" s="397"/>
      <c r="D188" s="397"/>
      <c r="E188" s="397"/>
      <c r="F188" s="723"/>
      <c r="G188" s="723"/>
      <c r="H188" s="723"/>
      <c r="I188" s="723"/>
      <c r="J188" s="723"/>
      <c r="K188" s="723"/>
      <c r="L188" s="724"/>
      <c r="N188" s="714"/>
      <c r="O188" s="424"/>
      <c r="P188" s="424"/>
      <c r="Q188" s="424"/>
      <c r="R188" s="424"/>
      <c r="S188" s="424"/>
      <c r="T188" s="424"/>
      <c r="U188" s="424"/>
      <c r="V188" s="424"/>
      <c r="W188" s="424"/>
      <c r="X188" s="424"/>
      <c r="Y188" s="424"/>
      <c r="Z188" s="424"/>
      <c r="AA188" s="424"/>
      <c r="AB188" s="424"/>
      <c r="AC188" s="424"/>
      <c r="AD188" s="424"/>
      <c r="AE188" s="424"/>
      <c r="AF188" s="424"/>
      <c r="AG188" s="424"/>
      <c r="AH188" s="424"/>
      <c r="AI188" s="424"/>
      <c r="AJ188" s="424"/>
      <c r="AK188" s="424"/>
      <c r="AL188" s="424"/>
      <c r="AM188" s="424"/>
      <c r="AN188" s="424"/>
      <c r="AO188" s="424"/>
      <c r="AP188" s="424"/>
      <c r="AQ188" s="424"/>
      <c r="AR188" s="424"/>
      <c r="AS188" s="424"/>
      <c r="AT188" s="713"/>
    </row>
    <row r="189" spans="1:46" ht="6.6" customHeight="1" x14ac:dyDescent="0.2">
      <c r="A189" s="727"/>
      <c r="B189" s="397"/>
      <c r="C189" s="397"/>
      <c r="D189" s="397"/>
      <c r="E189" s="397"/>
      <c r="F189" s="723"/>
      <c r="G189" s="723"/>
      <c r="H189" s="723"/>
      <c r="I189" s="723"/>
      <c r="J189" s="723"/>
      <c r="K189" s="723"/>
      <c r="L189" s="724"/>
      <c r="N189" s="714"/>
      <c r="O189" s="424"/>
      <c r="P189" s="424"/>
      <c r="Q189" s="424"/>
      <c r="R189" s="424"/>
      <c r="S189" s="424"/>
      <c r="T189" s="424"/>
      <c r="U189" s="424"/>
      <c r="V189" s="424"/>
      <c r="W189" s="424"/>
      <c r="X189" s="424"/>
      <c r="Y189" s="424"/>
      <c r="Z189" s="424"/>
      <c r="AA189" s="424"/>
      <c r="AB189" s="424"/>
      <c r="AC189" s="424"/>
      <c r="AD189" s="424"/>
      <c r="AE189" s="424"/>
      <c r="AF189" s="424"/>
      <c r="AG189" s="424"/>
      <c r="AH189" s="424"/>
      <c r="AI189" s="424"/>
      <c r="AJ189" s="424"/>
      <c r="AK189" s="424"/>
      <c r="AL189" s="424"/>
      <c r="AM189" s="424"/>
      <c r="AN189" s="424"/>
      <c r="AO189" s="424"/>
      <c r="AP189" s="424"/>
      <c r="AQ189" s="424"/>
      <c r="AR189" s="424"/>
      <c r="AS189" s="424"/>
      <c r="AT189" s="713"/>
    </row>
    <row r="190" spans="1:46" ht="6.6" customHeight="1" x14ac:dyDescent="0.2">
      <c r="A190" s="727"/>
      <c r="B190" s="397"/>
      <c r="C190" s="397"/>
      <c r="D190" s="397"/>
      <c r="E190" s="397"/>
      <c r="F190" s="723"/>
      <c r="G190" s="723"/>
      <c r="H190" s="723"/>
      <c r="I190" s="723"/>
      <c r="J190" s="723"/>
      <c r="K190" s="723"/>
      <c r="L190" s="724"/>
      <c r="N190" s="641"/>
      <c r="O190" s="388"/>
      <c r="P190" s="388"/>
      <c r="Q190" s="388"/>
      <c r="R190" s="388"/>
      <c r="S190" s="388"/>
      <c r="T190" s="388"/>
      <c r="U190" s="388"/>
      <c r="V190" s="388"/>
      <c r="W190" s="388"/>
      <c r="X190" s="388"/>
      <c r="Y190" s="388"/>
      <c r="Z190" s="388"/>
      <c r="AA190" s="388"/>
      <c r="AB190" s="388"/>
      <c r="AC190" s="388"/>
      <c r="AD190" s="388"/>
      <c r="AE190" s="388"/>
      <c r="AF190" s="388"/>
      <c r="AG190" s="388"/>
      <c r="AH190" s="388"/>
      <c r="AI190" s="388"/>
      <c r="AJ190" s="388"/>
      <c r="AK190" s="388"/>
      <c r="AL190" s="388"/>
      <c r="AM190" s="388"/>
      <c r="AN190" s="388"/>
      <c r="AO190" s="388"/>
      <c r="AP190" s="388"/>
      <c r="AQ190" s="388"/>
      <c r="AR190" s="388"/>
      <c r="AS190" s="388"/>
      <c r="AT190" s="640"/>
    </row>
    <row r="191" spans="1:46" ht="6.6" customHeight="1" x14ac:dyDescent="0.2">
      <c r="A191" s="726" t="s">
        <v>293</v>
      </c>
      <c r="B191" s="397"/>
      <c r="C191" s="397"/>
      <c r="D191" s="397"/>
      <c r="E191" s="397"/>
      <c r="F191" s="723"/>
      <c r="G191" s="723"/>
      <c r="H191" s="723"/>
      <c r="I191" s="723"/>
      <c r="J191" s="723"/>
      <c r="K191" s="723"/>
      <c r="L191" s="724"/>
      <c r="N191" s="641"/>
      <c r="O191" s="388"/>
      <c r="P191" s="388"/>
      <c r="Q191" s="388"/>
      <c r="R191" s="388"/>
      <c r="S191" s="388"/>
      <c r="T191" s="388"/>
      <c r="U191" s="388"/>
      <c r="V191" s="388"/>
      <c r="W191" s="388"/>
      <c r="X191" s="388"/>
      <c r="Y191" s="388"/>
      <c r="Z191" s="388"/>
      <c r="AA191" s="388"/>
      <c r="AB191" s="388"/>
      <c r="AC191" s="388"/>
      <c r="AD191" s="388"/>
      <c r="AE191" s="388"/>
      <c r="AF191" s="388"/>
      <c r="AG191" s="388"/>
      <c r="AH191" s="388"/>
      <c r="AI191" s="388"/>
      <c r="AJ191" s="388"/>
      <c r="AK191" s="388"/>
      <c r="AL191" s="388"/>
      <c r="AM191" s="388"/>
      <c r="AN191" s="388"/>
      <c r="AO191" s="388"/>
      <c r="AP191" s="388"/>
      <c r="AQ191" s="388"/>
      <c r="AR191" s="388"/>
      <c r="AS191" s="388"/>
      <c r="AT191" s="640"/>
    </row>
    <row r="192" spans="1:46" ht="6.6" customHeight="1" x14ac:dyDescent="0.2">
      <c r="A192" s="727"/>
      <c r="B192" s="397"/>
      <c r="C192" s="397"/>
      <c r="D192" s="397"/>
      <c r="E192" s="397"/>
      <c r="F192" s="723"/>
      <c r="G192" s="723"/>
      <c r="H192" s="723"/>
      <c r="I192" s="723"/>
      <c r="J192" s="723"/>
      <c r="K192" s="723"/>
      <c r="L192" s="724"/>
      <c r="N192" s="641"/>
      <c r="O192" s="388"/>
      <c r="P192" s="388"/>
      <c r="Q192" s="388"/>
      <c r="R192" s="388"/>
      <c r="S192" s="388"/>
      <c r="T192" s="388"/>
      <c r="U192" s="388"/>
      <c r="V192" s="388"/>
      <c r="W192" s="388"/>
      <c r="X192" s="388"/>
      <c r="Y192" s="388"/>
      <c r="Z192" s="388"/>
      <c r="AA192" s="388"/>
      <c r="AB192" s="388"/>
      <c r="AC192" s="388"/>
      <c r="AD192" s="388"/>
      <c r="AE192" s="388"/>
      <c r="AF192" s="388"/>
      <c r="AG192" s="388"/>
      <c r="AH192" s="388"/>
      <c r="AI192" s="388"/>
      <c r="AJ192" s="388"/>
      <c r="AK192" s="388"/>
      <c r="AL192" s="388"/>
      <c r="AM192" s="388"/>
      <c r="AN192" s="388"/>
      <c r="AO192" s="388"/>
      <c r="AP192" s="388"/>
      <c r="AQ192" s="388"/>
      <c r="AR192" s="388"/>
      <c r="AS192" s="388"/>
      <c r="AT192" s="640"/>
    </row>
    <row r="193" spans="1:46" ht="6.6" customHeight="1" x14ac:dyDescent="0.2">
      <c r="A193" s="727"/>
      <c r="B193" s="397"/>
      <c r="C193" s="397"/>
      <c r="D193" s="397"/>
      <c r="E193" s="397"/>
      <c r="F193" s="723"/>
      <c r="G193" s="723"/>
      <c r="H193" s="723"/>
      <c r="I193" s="723"/>
      <c r="J193" s="723"/>
      <c r="K193" s="723"/>
      <c r="L193" s="724"/>
      <c r="N193" s="641"/>
      <c r="O193" s="388"/>
      <c r="P193" s="388"/>
      <c r="Q193" s="388"/>
      <c r="R193" s="388"/>
      <c r="S193" s="388"/>
      <c r="T193" s="388"/>
      <c r="U193" s="388"/>
      <c r="V193" s="388"/>
      <c r="W193" s="388"/>
      <c r="X193" s="388"/>
      <c r="Y193" s="388"/>
      <c r="Z193" s="388"/>
      <c r="AA193" s="388"/>
      <c r="AB193" s="388"/>
      <c r="AC193" s="388"/>
      <c r="AD193" s="388"/>
      <c r="AE193" s="388"/>
      <c r="AF193" s="388"/>
      <c r="AG193" s="388"/>
      <c r="AH193" s="388"/>
      <c r="AI193" s="388"/>
      <c r="AJ193" s="388"/>
      <c r="AK193" s="388"/>
      <c r="AL193" s="388"/>
      <c r="AM193" s="388"/>
      <c r="AN193" s="388"/>
      <c r="AO193" s="388"/>
      <c r="AP193" s="388"/>
      <c r="AQ193" s="388"/>
      <c r="AR193" s="388"/>
      <c r="AS193" s="388"/>
      <c r="AT193" s="640"/>
    </row>
    <row r="194" spans="1:46" ht="6.6" customHeight="1" x14ac:dyDescent="0.2">
      <c r="A194" s="726" t="s">
        <v>210</v>
      </c>
      <c r="B194" s="397"/>
      <c r="C194" s="397"/>
      <c r="D194" s="397"/>
      <c r="E194" s="397"/>
      <c r="F194" s="723"/>
      <c r="G194" s="723"/>
      <c r="H194" s="723"/>
      <c r="I194" s="723"/>
      <c r="J194" s="723"/>
      <c r="K194" s="723"/>
      <c r="L194" s="724"/>
      <c r="N194" s="641"/>
      <c r="O194" s="388"/>
      <c r="P194" s="388"/>
      <c r="Q194" s="388"/>
      <c r="R194" s="388"/>
      <c r="S194" s="388"/>
      <c r="T194" s="388"/>
      <c r="U194" s="388"/>
      <c r="V194" s="388"/>
      <c r="W194" s="388"/>
      <c r="X194" s="388"/>
      <c r="Y194" s="388"/>
      <c r="Z194" s="388"/>
      <c r="AA194" s="388"/>
      <c r="AB194" s="388"/>
      <c r="AC194" s="388"/>
      <c r="AD194" s="388"/>
      <c r="AE194" s="388"/>
      <c r="AF194" s="388"/>
      <c r="AG194" s="388"/>
      <c r="AH194" s="388"/>
      <c r="AI194" s="388"/>
      <c r="AJ194" s="388"/>
      <c r="AK194" s="388"/>
      <c r="AL194" s="388"/>
      <c r="AM194" s="388"/>
      <c r="AN194" s="388"/>
      <c r="AO194" s="388"/>
      <c r="AP194" s="388"/>
      <c r="AQ194" s="388"/>
      <c r="AR194" s="388"/>
      <c r="AS194" s="388"/>
      <c r="AT194" s="640"/>
    </row>
    <row r="195" spans="1:46" ht="6.6" customHeight="1" x14ac:dyDescent="0.2">
      <c r="A195" s="727"/>
      <c r="B195" s="397"/>
      <c r="C195" s="397"/>
      <c r="D195" s="397"/>
      <c r="E195" s="397"/>
      <c r="F195" s="723"/>
      <c r="G195" s="723"/>
      <c r="H195" s="723"/>
      <c r="I195" s="723"/>
      <c r="J195" s="723"/>
      <c r="K195" s="723"/>
      <c r="L195" s="724"/>
      <c r="N195" s="641"/>
      <c r="O195" s="388"/>
      <c r="P195" s="388"/>
      <c r="Q195" s="388"/>
      <c r="R195" s="388"/>
      <c r="S195" s="388"/>
      <c r="T195" s="388"/>
      <c r="U195" s="388"/>
      <c r="V195" s="388"/>
      <c r="W195" s="388"/>
      <c r="X195" s="388"/>
      <c r="Y195" s="388"/>
      <c r="Z195" s="388"/>
      <c r="AA195" s="388"/>
      <c r="AB195" s="388"/>
      <c r="AC195" s="388"/>
      <c r="AD195" s="388"/>
      <c r="AE195" s="388"/>
      <c r="AF195" s="388"/>
      <c r="AG195" s="388"/>
      <c r="AH195" s="388"/>
      <c r="AI195" s="388"/>
      <c r="AJ195" s="388"/>
      <c r="AK195" s="388"/>
      <c r="AL195" s="388"/>
      <c r="AM195" s="388"/>
      <c r="AN195" s="388"/>
      <c r="AO195" s="388"/>
      <c r="AP195" s="388"/>
      <c r="AQ195" s="388"/>
      <c r="AR195" s="388"/>
      <c r="AS195" s="388"/>
      <c r="AT195" s="640"/>
    </row>
    <row r="196" spans="1:46" ht="6.6" customHeight="1" x14ac:dyDescent="0.2">
      <c r="A196" s="727"/>
      <c r="B196" s="397"/>
      <c r="C196" s="397"/>
      <c r="D196" s="397"/>
      <c r="E196" s="397"/>
      <c r="F196" s="723"/>
      <c r="G196" s="723"/>
      <c r="H196" s="723"/>
      <c r="I196" s="723"/>
      <c r="J196" s="723"/>
      <c r="K196" s="723"/>
      <c r="L196" s="724"/>
      <c r="N196" s="641"/>
      <c r="O196" s="388"/>
      <c r="P196" s="388"/>
      <c r="Q196" s="388"/>
      <c r="R196" s="388"/>
      <c r="S196" s="388"/>
      <c r="T196" s="388"/>
      <c r="U196" s="388"/>
      <c r="V196" s="388"/>
      <c r="W196" s="388"/>
      <c r="X196" s="388"/>
      <c r="Y196" s="388"/>
      <c r="Z196" s="388"/>
      <c r="AA196" s="388"/>
      <c r="AB196" s="388"/>
      <c r="AC196" s="388"/>
      <c r="AD196" s="388"/>
      <c r="AE196" s="388"/>
      <c r="AF196" s="388"/>
      <c r="AG196" s="388"/>
      <c r="AH196" s="388"/>
      <c r="AI196" s="388"/>
      <c r="AJ196" s="388"/>
      <c r="AK196" s="388"/>
      <c r="AL196" s="388"/>
      <c r="AM196" s="388"/>
      <c r="AN196" s="388"/>
      <c r="AO196" s="388"/>
      <c r="AP196" s="388"/>
      <c r="AQ196" s="388"/>
      <c r="AR196" s="388"/>
      <c r="AS196" s="388"/>
      <c r="AT196" s="640"/>
    </row>
    <row r="197" spans="1:46" ht="6.6" customHeight="1" x14ac:dyDescent="0.2">
      <c r="A197" s="726" t="s">
        <v>294</v>
      </c>
      <c r="B197" s="397"/>
      <c r="C197" s="397"/>
      <c r="D197" s="397"/>
      <c r="E197" s="397"/>
      <c r="F197" s="388"/>
      <c r="G197" s="388"/>
      <c r="H197" s="388"/>
      <c r="I197" s="388"/>
      <c r="J197" s="388"/>
      <c r="K197" s="388"/>
      <c r="L197" s="640"/>
      <c r="N197" s="641"/>
      <c r="O197" s="388"/>
      <c r="P197" s="388"/>
      <c r="Q197" s="388"/>
      <c r="R197" s="388"/>
      <c r="S197" s="388"/>
      <c r="T197" s="388"/>
      <c r="U197" s="388"/>
      <c r="V197" s="388"/>
      <c r="W197" s="388"/>
      <c r="X197" s="388"/>
      <c r="Y197" s="388"/>
      <c r="Z197" s="388"/>
      <c r="AA197" s="388"/>
      <c r="AB197" s="388"/>
      <c r="AC197" s="388"/>
      <c r="AD197" s="388"/>
      <c r="AE197" s="388"/>
      <c r="AF197" s="388"/>
      <c r="AG197" s="388"/>
      <c r="AH197" s="388"/>
      <c r="AI197" s="388"/>
      <c r="AJ197" s="388"/>
      <c r="AK197" s="388"/>
      <c r="AL197" s="388"/>
      <c r="AM197" s="388"/>
      <c r="AN197" s="388"/>
      <c r="AO197" s="388"/>
      <c r="AP197" s="388"/>
      <c r="AQ197" s="388"/>
      <c r="AR197" s="388"/>
      <c r="AS197" s="388"/>
      <c r="AT197" s="640"/>
    </row>
    <row r="198" spans="1:46" ht="6.6" customHeight="1" x14ac:dyDescent="0.2">
      <c r="A198" s="727"/>
      <c r="B198" s="397"/>
      <c r="C198" s="397"/>
      <c r="D198" s="397"/>
      <c r="E198" s="397"/>
      <c r="F198" s="388"/>
      <c r="G198" s="388"/>
      <c r="H198" s="388"/>
      <c r="I198" s="388"/>
      <c r="J198" s="388"/>
      <c r="K198" s="388"/>
      <c r="L198" s="640"/>
      <c r="N198" s="641"/>
      <c r="O198" s="388"/>
      <c r="P198" s="388"/>
      <c r="Q198" s="388"/>
      <c r="R198" s="388"/>
      <c r="S198" s="388"/>
      <c r="T198" s="388"/>
      <c r="U198" s="388"/>
      <c r="V198" s="388"/>
      <c r="W198" s="388"/>
      <c r="X198" s="388"/>
      <c r="Y198" s="388"/>
      <c r="Z198" s="388"/>
      <c r="AA198" s="388"/>
      <c r="AB198" s="388"/>
      <c r="AC198" s="388"/>
      <c r="AD198" s="388"/>
      <c r="AE198" s="388"/>
      <c r="AF198" s="388"/>
      <c r="AG198" s="388"/>
      <c r="AH198" s="388"/>
      <c r="AI198" s="388"/>
      <c r="AJ198" s="388"/>
      <c r="AK198" s="388"/>
      <c r="AL198" s="388"/>
      <c r="AM198" s="388"/>
      <c r="AN198" s="388"/>
      <c r="AO198" s="388"/>
      <c r="AP198" s="388"/>
      <c r="AQ198" s="388"/>
      <c r="AR198" s="388"/>
      <c r="AS198" s="388"/>
      <c r="AT198" s="640"/>
    </row>
    <row r="199" spans="1:46" ht="6.6" customHeight="1" x14ac:dyDescent="0.2">
      <c r="A199" s="727"/>
      <c r="B199" s="397"/>
      <c r="C199" s="397"/>
      <c r="D199" s="397"/>
      <c r="E199" s="397"/>
      <c r="F199" s="388"/>
      <c r="G199" s="388"/>
      <c r="H199" s="388"/>
      <c r="I199" s="388"/>
      <c r="J199" s="388"/>
      <c r="K199" s="388"/>
      <c r="L199" s="640"/>
      <c r="N199" s="641"/>
      <c r="O199" s="388"/>
      <c r="P199" s="388"/>
      <c r="Q199" s="388"/>
      <c r="R199" s="388"/>
      <c r="S199" s="388"/>
      <c r="T199" s="388"/>
      <c r="U199" s="388"/>
      <c r="V199" s="388"/>
      <c r="W199" s="388"/>
      <c r="X199" s="388"/>
      <c r="Y199" s="388"/>
      <c r="Z199" s="388"/>
      <c r="AA199" s="388"/>
      <c r="AB199" s="388"/>
      <c r="AC199" s="388"/>
      <c r="AD199" s="388"/>
      <c r="AE199" s="388"/>
      <c r="AF199" s="388"/>
      <c r="AG199" s="388"/>
      <c r="AH199" s="388"/>
      <c r="AI199" s="388"/>
      <c r="AJ199" s="388"/>
      <c r="AK199" s="388"/>
      <c r="AL199" s="388"/>
      <c r="AM199" s="388"/>
      <c r="AN199" s="388"/>
      <c r="AO199" s="388"/>
      <c r="AP199" s="388"/>
      <c r="AQ199" s="388"/>
      <c r="AR199" s="388"/>
      <c r="AS199" s="388"/>
      <c r="AT199" s="640"/>
    </row>
    <row r="200" spans="1:46" ht="6.6" customHeight="1" x14ac:dyDescent="0.2">
      <c r="A200" s="627" t="s">
        <v>269</v>
      </c>
      <c r="B200" s="294"/>
      <c r="C200" s="294"/>
      <c r="D200" s="294"/>
      <c r="E200" s="79"/>
      <c r="F200" s="281"/>
      <c r="G200" s="281"/>
      <c r="H200" s="281"/>
      <c r="I200" s="281"/>
      <c r="J200" s="281"/>
      <c r="K200" s="281"/>
      <c r="L200" s="178"/>
      <c r="N200" s="641"/>
      <c r="O200" s="388"/>
      <c r="P200" s="388"/>
      <c r="Q200" s="388"/>
      <c r="R200" s="388"/>
      <c r="S200" s="388"/>
      <c r="T200" s="388"/>
      <c r="U200" s="388"/>
      <c r="V200" s="388"/>
      <c r="W200" s="388"/>
      <c r="X200" s="388"/>
      <c r="Y200" s="388"/>
      <c r="Z200" s="388"/>
      <c r="AA200" s="388"/>
      <c r="AB200" s="388"/>
      <c r="AC200" s="388"/>
      <c r="AD200" s="388"/>
      <c r="AE200" s="388"/>
      <c r="AF200" s="388"/>
      <c r="AG200" s="388"/>
      <c r="AH200" s="388"/>
      <c r="AI200" s="388"/>
      <c r="AJ200" s="388"/>
      <c r="AK200" s="388"/>
      <c r="AL200" s="388"/>
      <c r="AM200" s="388"/>
      <c r="AN200" s="388"/>
      <c r="AO200" s="388"/>
      <c r="AP200" s="388"/>
      <c r="AQ200" s="388"/>
      <c r="AR200" s="388"/>
      <c r="AS200" s="388"/>
      <c r="AT200" s="640"/>
    </row>
    <row r="201" spans="1:46" ht="6.6" customHeight="1" x14ac:dyDescent="0.2">
      <c r="A201" s="597"/>
      <c r="B201" s="280"/>
      <c r="C201" s="280"/>
      <c r="D201" s="280"/>
      <c r="E201" s="64"/>
      <c r="F201" s="279"/>
      <c r="G201" s="279"/>
      <c r="H201" s="279"/>
      <c r="I201" s="279"/>
      <c r="J201" s="279"/>
      <c r="K201" s="279"/>
      <c r="L201" s="169"/>
      <c r="N201" s="641"/>
      <c r="O201" s="388"/>
      <c r="P201" s="388"/>
      <c r="Q201" s="388"/>
      <c r="R201" s="388"/>
      <c r="S201" s="388"/>
      <c r="T201" s="388"/>
      <c r="U201" s="388"/>
      <c r="V201" s="388"/>
      <c r="W201" s="388"/>
      <c r="X201" s="388"/>
      <c r="Y201" s="388"/>
      <c r="Z201" s="388"/>
      <c r="AA201" s="388"/>
      <c r="AB201" s="388"/>
      <c r="AC201" s="388"/>
      <c r="AD201" s="388"/>
      <c r="AE201" s="388"/>
      <c r="AF201" s="388"/>
      <c r="AG201" s="388"/>
      <c r="AH201" s="388"/>
      <c r="AI201" s="388"/>
      <c r="AJ201" s="388"/>
      <c r="AK201" s="388"/>
      <c r="AL201" s="388"/>
      <c r="AM201" s="388"/>
      <c r="AN201" s="388"/>
      <c r="AO201" s="388"/>
      <c r="AP201" s="388"/>
      <c r="AQ201" s="388"/>
      <c r="AR201" s="388"/>
      <c r="AS201" s="388"/>
      <c r="AT201" s="640"/>
    </row>
    <row r="202" spans="1:46" ht="6.6" customHeight="1" x14ac:dyDescent="0.2">
      <c r="A202" s="597" t="s">
        <v>270</v>
      </c>
      <c r="B202" s="280"/>
      <c r="C202" s="280"/>
      <c r="D202" s="280"/>
      <c r="E202" s="64"/>
      <c r="F202" s="598"/>
      <c r="G202" s="598"/>
      <c r="H202" s="598"/>
      <c r="I202" s="598"/>
      <c r="J202" s="598"/>
      <c r="K202" s="598"/>
      <c r="L202" s="169"/>
      <c r="N202" s="627" t="s">
        <v>298</v>
      </c>
      <c r="O202" s="294"/>
      <c r="P202" s="294"/>
      <c r="Q202" s="294"/>
      <c r="R202" s="294"/>
      <c r="S202" s="294"/>
      <c r="T202" s="291" t="str">
        <f>IF(U190,MIN(U190:AC201,AL190:AT201),"")</f>
        <v/>
      </c>
      <c r="U202" s="291"/>
      <c r="V202" s="291"/>
      <c r="W202" s="291"/>
      <c r="X202" s="291"/>
      <c r="Y202" s="291"/>
      <c r="Z202" s="280" t="s">
        <v>299</v>
      </c>
      <c r="AA202" s="280"/>
      <c r="AB202" s="280"/>
      <c r="AC202" s="280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169"/>
    </row>
    <row r="203" spans="1:46" ht="6.6" customHeight="1" x14ac:dyDescent="0.2">
      <c r="A203" s="597"/>
      <c r="B203" s="280"/>
      <c r="C203" s="280"/>
      <c r="D203" s="280"/>
      <c r="E203" s="64"/>
      <c r="F203" s="599"/>
      <c r="G203" s="599"/>
      <c r="H203" s="599"/>
      <c r="I203" s="599"/>
      <c r="J203" s="599"/>
      <c r="K203" s="599"/>
      <c r="L203" s="169"/>
      <c r="N203" s="597"/>
      <c r="O203" s="280"/>
      <c r="P203" s="280"/>
      <c r="Q203" s="280"/>
      <c r="R203" s="280"/>
      <c r="S203" s="280"/>
      <c r="T203" s="321"/>
      <c r="U203" s="321"/>
      <c r="V203" s="321"/>
      <c r="W203" s="321"/>
      <c r="X203" s="321"/>
      <c r="Y203" s="321"/>
      <c r="Z203" s="280"/>
      <c r="AA203" s="280"/>
      <c r="AB203" s="280"/>
      <c r="AC203" s="280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169"/>
    </row>
    <row r="204" spans="1:46" ht="6.6" customHeight="1" x14ac:dyDescent="0.2">
      <c r="A204" s="597" t="s">
        <v>271</v>
      </c>
      <c r="B204" s="280"/>
      <c r="C204" s="280"/>
      <c r="D204" s="280"/>
      <c r="E204" s="64"/>
      <c r="F204" s="281"/>
      <c r="G204" s="281"/>
      <c r="H204" s="281"/>
      <c r="I204" s="281"/>
      <c r="J204" s="281"/>
      <c r="K204" s="281"/>
      <c r="L204" s="169"/>
      <c r="N204" s="716" t="s">
        <v>271</v>
      </c>
      <c r="O204" s="715"/>
      <c r="P204" s="715"/>
      <c r="Q204" s="715"/>
      <c r="R204" s="64"/>
      <c r="S204" s="393"/>
      <c r="T204" s="349"/>
      <c r="U204" s="349"/>
      <c r="V204" s="349"/>
      <c r="W204" s="349"/>
      <c r="X204" s="349"/>
      <c r="Y204" s="64"/>
      <c r="Z204" s="64"/>
      <c r="AA204" s="64"/>
      <c r="AB204" s="64"/>
      <c r="AC204" s="64"/>
      <c r="AD204" s="715" t="s">
        <v>269</v>
      </c>
      <c r="AE204" s="715"/>
      <c r="AF204" s="715"/>
      <c r="AG204" s="715"/>
      <c r="AH204" s="64"/>
      <c r="AI204" s="393"/>
      <c r="AJ204" s="393"/>
      <c r="AK204" s="393"/>
      <c r="AL204" s="393"/>
      <c r="AM204" s="393"/>
      <c r="AN204" s="393"/>
      <c r="AO204" s="64"/>
      <c r="AP204" s="64"/>
      <c r="AQ204" s="64"/>
      <c r="AR204" s="64"/>
      <c r="AS204" s="64"/>
      <c r="AT204" s="169"/>
    </row>
    <row r="205" spans="1:46" ht="6.6" customHeight="1" x14ac:dyDescent="0.2">
      <c r="A205" s="597"/>
      <c r="B205" s="280"/>
      <c r="C205" s="280"/>
      <c r="D205" s="280"/>
      <c r="E205" s="64"/>
      <c r="F205" s="279"/>
      <c r="G205" s="279"/>
      <c r="H205" s="279"/>
      <c r="I205" s="279"/>
      <c r="J205" s="279"/>
      <c r="K205" s="279"/>
      <c r="L205" s="169"/>
      <c r="N205" s="716"/>
      <c r="O205" s="715"/>
      <c r="P205" s="715"/>
      <c r="Q205" s="715"/>
      <c r="R205" s="64"/>
      <c r="S205" s="394"/>
      <c r="T205" s="394"/>
      <c r="U205" s="394"/>
      <c r="V205" s="394"/>
      <c r="W205" s="394"/>
      <c r="X205" s="394"/>
      <c r="Y205" s="64"/>
      <c r="Z205" s="64"/>
      <c r="AA205" s="64"/>
      <c r="AB205" s="64"/>
      <c r="AC205" s="64"/>
      <c r="AD205" s="715"/>
      <c r="AE205" s="715"/>
      <c r="AF205" s="715"/>
      <c r="AG205" s="715"/>
      <c r="AH205" s="64"/>
      <c r="AI205" s="394"/>
      <c r="AJ205" s="394"/>
      <c r="AK205" s="394"/>
      <c r="AL205" s="394"/>
      <c r="AM205" s="394"/>
      <c r="AN205" s="394"/>
      <c r="AO205" s="64"/>
      <c r="AP205" s="64"/>
      <c r="AQ205" s="64"/>
      <c r="AR205" s="64"/>
      <c r="AS205" s="64"/>
      <c r="AT205" s="169"/>
    </row>
    <row r="206" spans="1:46" ht="6.6" customHeight="1" x14ac:dyDescent="0.2">
      <c r="A206" s="597" t="s">
        <v>270</v>
      </c>
      <c r="B206" s="280"/>
      <c r="C206" s="280"/>
      <c r="D206" s="280"/>
      <c r="E206" s="64"/>
      <c r="F206" s="598"/>
      <c r="G206" s="598"/>
      <c r="H206" s="598"/>
      <c r="I206" s="598"/>
      <c r="J206" s="598"/>
      <c r="K206" s="598"/>
      <c r="L206" s="169"/>
      <c r="N206" s="716" t="s">
        <v>270</v>
      </c>
      <c r="O206" s="715"/>
      <c r="P206" s="715"/>
      <c r="Q206" s="715"/>
      <c r="R206" s="64"/>
      <c r="S206" s="717"/>
      <c r="T206" s="717"/>
      <c r="U206" s="717"/>
      <c r="V206" s="717"/>
      <c r="W206" s="717"/>
      <c r="X206" s="717"/>
      <c r="Y206" s="64"/>
      <c r="Z206" s="64"/>
      <c r="AA206" s="64"/>
      <c r="AB206" s="64"/>
      <c r="AC206" s="64"/>
      <c r="AD206" s="715" t="s">
        <v>270</v>
      </c>
      <c r="AE206" s="715"/>
      <c r="AF206" s="715"/>
      <c r="AG206" s="715"/>
      <c r="AH206" s="64"/>
      <c r="AI206" s="717"/>
      <c r="AJ206" s="717"/>
      <c r="AK206" s="717"/>
      <c r="AL206" s="717"/>
      <c r="AM206" s="717"/>
      <c r="AN206" s="717"/>
      <c r="AO206" s="64"/>
      <c r="AP206" s="64"/>
      <c r="AQ206" s="64"/>
      <c r="AR206" s="64"/>
      <c r="AS206" s="64"/>
      <c r="AT206" s="169"/>
    </row>
    <row r="207" spans="1:46" ht="6.6" customHeight="1" x14ac:dyDescent="0.2">
      <c r="A207" s="597"/>
      <c r="B207" s="280"/>
      <c r="C207" s="280"/>
      <c r="D207" s="280"/>
      <c r="E207" s="64"/>
      <c r="F207" s="599"/>
      <c r="G207" s="599"/>
      <c r="H207" s="599"/>
      <c r="I207" s="599"/>
      <c r="J207" s="599"/>
      <c r="K207" s="599"/>
      <c r="L207" s="169"/>
      <c r="N207" s="716"/>
      <c r="O207" s="715"/>
      <c r="P207" s="715"/>
      <c r="Q207" s="715"/>
      <c r="R207" s="64"/>
      <c r="S207" s="718"/>
      <c r="T207" s="718"/>
      <c r="U207" s="718"/>
      <c r="V207" s="718"/>
      <c r="W207" s="718"/>
      <c r="X207" s="718"/>
      <c r="Y207" s="64"/>
      <c r="Z207" s="64"/>
      <c r="AA207" s="64"/>
      <c r="AB207" s="64"/>
      <c r="AC207" s="64"/>
      <c r="AD207" s="715"/>
      <c r="AE207" s="715"/>
      <c r="AF207" s="715"/>
      <c r="AG207" s="715"/>
      <c r="AH207" s="64"/>
      <c r="AI207" s="718"/>
      <c r="AJ207" s="718"/>
      <c r="AK207" s="718"/>
      <c r="AL207" s="718"/>
      <c r="AM207" s="718"/>
      <c r="AN207" s="718"/>
      <c r="AO207" s="64"/>
      <c r="AP207" s="64"/>
      <c r="AQ207" s="64"/>
      <c r="AR207" s="64"/>
      <c r="AS207" s="64"/>
      <c r="AT207" s="169"/>
    </row>
    <row r="208" spans="1:46" ht="6.6" customHeight="1" thickBot="1" x14ac:dyDescent="0.25">
      <c r="A208" s="171"/>
      <c r="B208" s="172"/>
      <c r="C208" s="172"/>
      <c r="D208" s="172"/>
      <c r="E208" s="172"/>
      <c r="F208" s="172"/>
      <c r="G208" s="172"/>
      <c r="H208" s="172"/>
      <c r="I208" s="172"/>
      <c r="J208" s="172"/>
      <c r="K208" s="172"/>
      <c r="L208" s="173"/>
      <c r="N208" s="171"/>
      <c r="O208" s="172"/>
      <c r="P208" s="172"/>
      <c r="Q208" s="172"/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  <c r="AB208" s="172"/>
      <c r="AC208" s="172"/>
      <c r="AD208" s="172"/>
      <c r="AE208" s="172"/>
      <c r="AF208" s="172"/>
      <c r="AG208" s="172"/>
      <c r="AH208" s="172"/>
      <c r="AI208" s="172"/>
      <c r="AJ208" s="172"/>
      <c r="AK208" s="172"/>
      <c r="AL208" s="172"/>
      <c r="AM208" s="172"/>
      <c r="AN208" s="172"/>
      <c r="AO208" s="172"/>
      <c r="AP208" s="172"/>
      <c r="AQ208" s="172"/>
      <c r="AR208" s="172"/>
      <c r="AS208" s="172"/>
      <c r="AT208" s="173"/>
    </row>
    <row r="209" spans="1:46" ht="6.6" customHeight="1" x14ac:dyDescent="0.2">
      <c r="A209" s="183">
        <f>O219</f>
        <v>0</v>
      </c>
      <c r="B209" s="183">
        <f>A209+0.2</f>
        <v>0.2</v>
      </c>
      <c r="C209" s="183">
        <f t="shared" ref="C209:AT209" si="0">B209+0.2</f>
        <v>0.4</v>
      </c>
      <c r="D209" s="183">
        <f t="shared" si="0"/>
        <v>0.60000000000000009</v>
      </c>
      <c r="E209" s="183">
        <f t="shared" si="0"/>
        <v>0.8</v>
      </c>
      <c r="F209" s="183">
        <f t="shared" si="0"/>
        <v>1</v>
      </c>
      <c r="G209" s="183">
        <f t="shared" si="0"/>
        <v>1.2</v>
      </c>
      <c r="H209" s="183">
        <f t="shared" si="0"/>
        <v>1.4</v>
      </c>
      <c r="I209" s="183">
        <f t="shared" si="0"/>
        <v>1.5999999999999999</v>
      </c>
      <c r="J209" s="183">
        <f t="shared" si="0"/>
        <v>1.7999999999999998</v>
      </c>
      <c r="K209" s="183">
        <f t="shared" si="0"/>
        <v>1.9999999999999998</v>
      </c>
      <c r="L209" s="183">
        <f t="shared" si="0"/>
        <v>2.1999999999999997</v>
      </c>
      <c r="M209" s="183">
        <f t="shared" si="0"/>
        <v>2.4</v>
      </c>
      <c r="N209" s="183">
        <f t="shared" si="0"/>
        <v>2.6</v>
      </c>
      <c r="O209" s="183">
        <f t="shared" si="0"/>
        <v>2.8000000000000003</v>
      </c>
      <c r="P209" s="183">
        <f t="shared" si="0"/>
        <v>3.0000000000000004</v>
      </c>
      <c r="Q209" s="183">
        <f t="shared" si="0"/>
        <v>3.2000000000000006</v>
      </c>
      <c r="R209" s="183">
        <f t="shared" si="0"/>
        <v>3.4000000000000008</v>
      </c>
      <c r="S209" s="183">
        <f t="shared" si="0"/>
        <v>3.600000000000001</v>
      </c>
      <c r="T209" s="183">
        <f t="shared" si="0"/>
        <v>3.8000000000000012</v>
      </c>
      <c r="U209" s="183">
        <f t="shared" si="0"/>
        <v>4.0000000000000009</v>
      </c>
      <c r="V209" s="183">
        <f t="shared" si="0"/>
        <v>4.2000000000000011</v>
      </c>
      <c r="W209" s="183">
        <f t="shared" si="0"/>
        <v>4.4000000000000012</v>
      </c>
      <c r="X209" s="183">
        <f t="shared" si="0"/>
        <v>4.6000000000000014</v>
      </c>
      <c r="Y209" s="183">
        <f t="shared" si="0"/>
        <v>4.8000000000000016</v>
      </c>
      <c r="Z209" s="183">
        <f t="shared" si="0"/>
        <v>5.0000000000000018</v>
      </c>
      <c r="AA209" s="183">
        <f t="shared" si="0"/>
        <v>5.200000000000002</v>
      </c>
      <c r="AB209" s="183">
        <f t="shared" si="0"/>
        <v>5.4000000000000021</v>
      </c>
      <c r="AC209" s="183">
        <f t="shared" si="0"/>
        <v>5.6000000000000023</v>
      </c>
      <c r="AD209" s="183">
        <f t="shared" si="0"/>
        <v>5.8000000000000025</v>
      </c>
      <c r="AE209" s="183">
        <f t="shared" si="0"/>
        <v>6.0000000000000027</v>
      </c>
      <c r="AF209" s="183">
        <f t="shared" si="0"/>
        <v>6.2000000000000028</v>
      </c>
      <c r="AG209" s="183">
        <f t="shared" si="0"/>
        <v>6.400000000000003</v>
      </c>
      <c r="AH209" s="183">
        <f t="shared" si="0"/>
        <v>6.6000000000000032</v>
      </c>
      <c r="AI209" s="183">
        <f t="shared" si="0"/>
        <v>6.8000000000000034</v>
      </c>
      <c r="AJ209" s="183">
        <f t="shared" si="0"/>
        <v>7.0000000000000036</v>
      </c>
      <c r="AK209" s="183">
        <f t="shared" si="0"/>
        <v>7.2000000000000037</v>
      </c>
      <c r="AL209" s="183">
        <f t="shared" si="0"/>
        <v>7.4000000000000039</v>
      </c>
      <c r="AM209" s="183">
        <f t="shared" si="0"/>
        <v>7.6000000000000041</v>
      </c>
      <c r="AN209" s="183">
        <f t="shared" si="0"/>
        <v>7.8000000000000043</v>
      </c>
      <c r="AO209" s="183">
        <f t="shared" si="0"/>
        <v>8.0000000000000036</v>
      </c>
      <c r="AP209" s="183">
        <f t="shared" si="0"/>
        <v>8.2000000000000028</v>
      </c>
      <c r="AQ209" s="183">
        <f t="shared" si="0"/>
        <v>8.4000000000000021</v>
      </c>
      <c r="AR209" s="183">
        <f t="shared" si="0"/>
        <v>8.6000000000000014</v>
      </c>
      <c r="AS209" s="183">
        <f t="shared" si="0"/>
        <v>8.8000000000000007</v>
      </c>
      <c r="AT209" s="183">
        <f t="shared" si="0"/>
        <v>9</v>
      </c>
    </row>
    <row r="210" spans="1:46" ht="6.6" customHeight="1" x14ac:dyDescent="0.2">
      <c r="A210" s="183">
        <f ca="1">$X$229*A209^6+$Y$229*$A$209^5+$Z$229*A209^4+$AA$229*A209^3+$AB$229*A209^2+$AC$229*A209+$AD$229</f>
        <v>0</v>
      </c>
      <c r="B210" s="183">
        <f t="shared" ref="B210:AT210" ca="1" si="1">$X$229*B209^6+$Y$229*$A$209^5+$Z$229*B209^4+$AA$229*B209^3+$AB$229*B209^2+$AC$229*B209+$AD$229</f>
        <v>0</v>
      </c>
      <c r="C210" s="183">
        <f t="shared" ca="1" si="1"/>
        <v>0</v>
      </c>
      <c r="D210" s="183">
        <f t="shared" ca="1" si="1"/>
        <v>0</v>
      </c>
      <c r="E210" s="183">
        <f t="shared" ca="1" si="1"/>
        <v>0</v>
      </c>
      <c r="F210" s="183">
        <f t="shared" ca="1" si="1"/>
        <v>0</v>
      </c>
      <c r="G210" s="183">
        <f t="shared" ca="1" si="1"/>
        <v>0</v>
      </c>
      <c r="H210" s="183">
        <f t="shared" ca="1" si="1"/>
        <v>0</v>
      </c>
      <c r="I210" s="183">
        <f t="shared" ca="1" si="1"/>
        <v>0</v>
      </c>
      <c r="J210" s="183">
        <f t="shared" ca="1" si="1"/>
        <v>0</v>
      </c>
      <c r="K210" s="183">
        <f t="shared" ca="1" si="1"/>
        <v>0</v>
      </c>
      <c r="L210" s="183">
        <f t="shared" ca="1" si="1"/>
        <v>0</v>
      </c>
      <c r="M210" s="183">
        <f t="shared" ca="1" si="1"/>
        <v>0</v>
      </c>
      <c r="N210" s="183">
        <f t="shared" ca="1" si="1"/>
        <v>0</v>
      </c>
      <c r="O210" s="183">
        <f t="shared" ca="1" si="1"/>
        <v>0</v>
      </c>
      <c r="P210" s="183">
        <f t="shared" ca="1" si="1"/>
        <v>0</v>
      </c>
      <c r="Q210" s="183">
        <f t="shared" ca="1" si="1"/>
        <v>0</v>
      </c>
      <c r="R210" s="183">
        <f t="shared" ca="1" si="1"/>
        <v>0</v>
      </c>
      <c r="S210" s="183">
        <f t="shared" ca="1" si="1"/>
        <v>0</v>
      </c>
      <c r="T210" s="183">
        <f t="shared" ca="1" si="1"/>
        <v>0</v>
      </c>
      <c r="U210" s="183">
        <f t="shared" ca="1" si="1"/>
        <v>0</v>
      </c>
      <c r="V210" s="183">
        <f t="shared" ca="1" si="1"/>
        <v>0</v>
      </c>
      <c r="W210" s="183">
        <f t="shared" ca="1" si="1"/>
        <v>0</v>
      </c>
      <c r="X210" s="183">
        <f t="shared" ca="1" si="1"/>
        <v>0</v>
      </c>
      <c r="Y210" s="183">
        <f t="shared" ca="1" si="1"/>
        <v>0</v>
      </c>
      <c r="Z210" s="183">
        <f t="shared" ca="1" si="1"/>
        <v>0</v>
      </c>
      <c r="AA210" s="183">
        <f t="shared" ca="1" si="1"/>
        <v>0</v>
      </c>
      <c r="AB210" s="183">
        <f t="shared" ca="1" si="1"/>
        <v>0</v>
      </c>
      <c r="AC210" s="183">
        <f t="shared" ca="1" si="1"/>
        <v>0</v>
      </c>
      <c r="AD210" s="183">
        <f t="shared" ca="1" si="1"/>
        <v>0</v>
      </c>
      <c r="AE210" s="183">
        <f t="shared" ca="1" si="1"/>
        <v>0</v>
      </c>
      <c r="AF210" s="183">
        <f t="shared" ca="1" si="1"/>
        <v>0</v>
      </c>
      <c r="AG210" s="183">
        <f t="shared" ca="1" si="1"/>
        <v>0</v>
      </c>
      <c r="AH210" s="183">
        <f t="shared" ca="1" si="1"/>
        <v>0</v>
      </c>
      <c r="AI210" s="183">
        <f t="shared" ca="1" si="1"/>
        <v>0</v>
      </c>
      <c r="AJ210" s="183">
        <f t="shared" ca="1" si="1"/>
        <v>0</v>
      </c>
      <c r="AK210" s="183">
        <f t="shared" ca="1" si="1"/>
        <v>0</v>
      </c>
      <c r="AL210" s="183">
        <f t="shared" ca="1" si="1"/>
        <v>0</v>
      </c>
      <c r="AM210" s="183">
        <f t="shared" ca="1" si="1"/>
        <v>0</v>
      </c>
      <c r="AN210" s="183">
        <f t="shared" ca="1" si="1"/>
        <v>0</v>
      </c>
      <c r="AO210" s="183">
        <f t="shared" ca="1" si="1"/>
        <v>0</v>
      </c>
      <c r="AP210" s="183">
        <f t="shared" ca="1" si="1"/>
        <v>0</v>
      </c>
      <c r="AQ210" s="183">
        <f t="shared" ca="1" si="1"/>
        <v>0</v>
      </c>
      <c r="AR210" s="183">
        <f t="shared" ca="1" si="1"/>
        <v>0</v>
      </c>
      <c r="AS210" s="183">
        <f t="shared" ca="1" si="1"/>
        <v>0</v>
      </c>
      <c r="AT210" s="183">
        <f t="shared" ca="1" si="1"/>
        <v>0</v>
      </c>
    </row>
    <row r="211" spans="1:46" ht="6.6" customHeight="1" thickBot="1" x14ac:dyDescent="0.25">
      <c r="A211" s="183" t="e">
        <f ca="1">$X$230*A209^6+$Y$230*$A$209^5+$Z$230*A209^4+$AA$230*A209^3+$AB$230*A209^2+$AC$230*A209+$AD$230</f>
        <v>#VALUE!</v>
      </c>
      <c r="B211" s="183" t="e">
        <f t="shared" ref="B211:AT211" ca="1" si="2">$X$230*B209^6+$Y$230*$A$209^5+$Z$230*B209^4+$AA$230*B209^3+$AB$230*B209^2+$AC$230*B209+$AD$230</f>
        <v>#VALUE!</v>
      </c>
      <c r="C211" s="183" t="e">
        <f t="shared" ca="1" si="2"/>
        <v>#VALUE!</v>
      </c>
      <c r="D211" s="183" t="e">
        <f t="shared" ca="1" si="2"/>
        <v>#VALUE!</v>
      </c>
      <c r="E211" s="183" t="e">
        <f t="shared" ca="1" si="2"/>
        <v>#VALUE!</v>
      </c>
      <c r="F211" s="183" t="e">
        <f t="shared" ca="1" si="2"/>
        <v>#VALUE!</v>
      </c>
      <c r="G211" s="183" t="e">
        <f t="shared" ca="1" si="2"/>
        <v>#VALUE!</v>
      </c>
      <c r="H211" s="183" t="e">
        <f t="shared" ca="1" si="2"/>
        <v>#VALUE!</v>
      </c>
      <c r="I211" s="183" t="e">
        <f t="shared" ca="1" si="2"/>
        <v>#VALUE!</v>
      </c>
      <c r="J211" s="183" t="e">
        <f t="shared" ca="1" si="2"/>
        <v>#VALUE!</v>
      </c>
      <c r="K211" s="183" t="e">
        <f t="shared" ca="1" si="2"/>
        <v>#VALUE!</v>
      </c>
      <c r="L211" s="183" t="e">
        <f t="shared" ca="1" si="2"/>
        <v>#VALUE!</v>
      </c>
      <c r="M211" s="183" t="e">
        <f t="shared" ca="1" si="2"/>
        <v>#VALUE!</v>
      </c>
      <c r="N211" s="183" t="e">
        <f t="shared" ca="1" si="2"/>
        <v>#VALUE!</v>
      </c>
      <c r="O211" s="183" t="e">
        <f t="shared" ca="1" si="2"/>
        <v>#VALUE!</v>
      </c>
      <c r="P211" s="183" t="e">
        <f t="shared" ca="1" si="2"/>
        <v>#VALUE!</v>
      </c>
      <c r="Q211" s="183" t="e">
        <f t="shared" ca="1" si="2"/>
        <v>#VALUE!</v>
      </c>
      <c r="R211" s="183" t="e">
        <f t="shared" ca="1" si="2"/>
        <v>#VALUE!</v>
      </c>
      <c r="S211" s="183" t="e">
        <f t="shared" ca="1" si="2"/>
        <v>#VALUE!</v>
      </c>
      <c r="T211" s="183" t="e">
        <f t="shared" ca="1" si="2"/>
        <v>#VALUE!</v>
      </c>
      <c r="U211" s="183" t="e">
        <f t="shared" ca="1" si="2"/>
        <v>#VALUE!</v>
      </c>
      <c r="V211" s="183" t="e">
        <f t="shared" ca="1" si="2"/>
        <v>#VALUE!</v>
      </c>
      <c r="W211" s="183" t="e">
        <f t="shared" ca="1" si="2"/>
        <v>#VALUE!</v>
      </c>
      <c r="X211" s="183" t="e">
        <f t="shared" ca="1" si="2"/>
        <v>#VALUE!</v>
      </c>
      <c r="Y211" s="183" t="e">
        <f t="shared" ca="1" si="2"/>
        <v>#VALUE!</v>
      </c>
      <c r="Z211" s="183" t="e">
        <f t="shared" ca="1" si="2"/>
        <v>#VALUE!</v>
      </c>
      <c r="AA211" s="183" t="e">
        <f t="shared" ca="1" si="2"/>
        <v>#VALUE!</v>
      </c>
      <c r="AB211" s="183" t="e">
        <f t="shared" ca="1" si="2"/>
        <v>#VALUE!</v>
      </c>
      <c r="AC211" s="183" t="e">
        <f t="shared" ca="1" si="2"/>
        <v>#VALUE!</v>
      </c>
      <c r="AD211" s="183" t="e">
        <f t="shared" ca="1" si="2"/>
        <v>#VALUE!</v>
      </c>
      <c r="AE211" s="183" t="e">
        <f t="shared" ca="1" si="2"/>
        <v>#VALUE!</v>
      </c>
      <c r="AF211" s="183" t="e">
        <f t="shared" ca="1" si="2"/>
        <v>#VALUE!</v>
      </c>
      <c r="AG211" s="183" t="e">
        <f t="shared" ca="1" si="2"/>
        <v>#VALUE!</v>
      </c>
      <c r="AH211" s="183" t="e">
        <f t="shared" ca="1" si="2"/>
        <v>#VALUE!</v>
      </c>
      <c r="AI211" s="183" t="e">
        <f t="shared" ca="1" si="2"/>
        <v>#VALUE!</v>
      </c>
      <c r="AJ211" s="183" t="e">
        <f t="shared" ca="1" si="2"/>
        <v>#VALUE!</v>
      </c>
      <c r="AK211" s="183" t="e">
        <f t="shared" ca="1" si="2"/>
        <v>#VALUE!</v>
      </c>
      <c r="AL211" s="183" t="e">
        <f t="shared" ca="1" si="2"/>
        <v>#VALUE!</v>
      </c>
      <c r="AM211" s="183" t="e">
        <f t="shared" ca="1" si="2"/>
        <v>#VALUE!</v>
      </c>
      <c r="AN211" s="183" t="e">
        <f t="shared" ca="1" si="2"/>
        <v>#VALUE!</v>
      </c>
      <c r="AO211" s="183" t="e">
        <f t="shared" ca="1" si="2"/>
        <v>#VALUE!</v>
      </c>
      <c r="AP211" s="183" t="e">
        <f t="shared" ca="1" si="2"/>
        <v>#VALUE!</v>
      </c>
      <c r="AQ211" s="183" t="e">
        <f t="shared" ca="1" si="2"/>
        <v>#VALUE!</v>
      </c>
      <c r="AR211" s="183" t="e">
        <f t="shared" ca="1" si="2"/>
        <v>#VALUE!</v>
      </c>
      <c r="AS211" s="183" t="e">
        <f t="shared" ca="1" si="2"/>
        <v>#VALUE!</v>
      </c>
      <c r="AT211" s="183" t="e">
        <f t="shared" ca="1" si="2"/>
        <v>#VALUE!</v>
      </c>
    </row>
    <row r="212" spans="1:46" ht="6.6" customHeight="1" x14ac:dyDescent="0.2">
      <c r="A212" s="164"/>
      <c r="B212" s="166"/>
      <c r="C212" s="166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  <c r="R212" s="166"/>
      <c r="S212" s="166"/>
      <c r="T212" s="166"/>
      <c r="U212" s="166"/>
      <c r="V212" s="166"/>
      <c r="W212" s="166"/>
      <c r="X212" s="166"/>
      <c r="Y212" s="166"/>
      <c r="Z212" s="166"/>
      <c r="AA212" s="166"/>
      <c r="AB212" s="166"/>
      <c r="AC212" s="166"/>
      <c r="AD212" s="166"/>
      <c r="AE212" s="166"/>
      <c r="AF212" s="166"/>
      <c r="AG212" s="166"/>
      <c r="AH212" s="166"/>
      <c r="AI212" s="166"/>
      <c r="AJ212" s="166"/>
      <c r="AK212" s="166"/>
      <c r="AL212" s="166"/>
      <c r="AM212" s="166"/>
      <c r="AN212" s="166"/>
      <c r="AO212" s="165"/>
      <c r="AP212" s="179"/>
      <c r="AQ212" s="609" t="s">
        <v>305</v>
      </c>
      <c r="AR212" s="610"/>
      <c r="AS212" s="610"/>
      <c r="AT212" s="611"/>
    </row>
    <row r="213" spans="1:46" ht="6.6" customHeight="1" x14ac:dyDescent="0.2">
      <c r="A213" s="175"/>
      <c r="B213" s="63"/>
      <c r="C213" s="63"/>
      <c r="D213" s="63"/>
      <c r="E213" s="63"/>
      <c r="F213" s="63"/>
      <c r="G213" s="715" t="s">
        <v>304</v>
      </c>
      <c r="H213" s="715"/>
      <c r="I213" s="715"/>
      <c r="J213" s="715"/>
      <c r="K213" s="715"/>
      <c r="L213" s="715"/>
      <c r="M213" s="715"/>
      <c r="N213" s="715"/>
      <c r="O213" s="715"/>
      <c r="P213" s="715"/>
      <c r="Q213" s="715"/>
      <c r="R213" s="715"/>
      <c r="S213" s="715"/>
      <c r="T213" s="715"/>
      <c r="U213" s="715"/>
      <c r="V213" s="715"/>
      <c r="W213" s="715"/>
      <c r="X213" s="715"/>
      <c r="Y213" s="276"/>
      <c r="Z213" s="276"/>
      <c r="AA213" s="276"/>
      <c r="AB213" s="276"/>
      <c r="AC213" s="276"/>
      <c r="AD213" s="280" t="s">
        <v>303</v>
      </c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180"/>
      <c r="AQ213" s="612"/>
      <c r="AR213" s="613"/>
      <c r="AS213" s="613"/>
      <c r="AT213" s="614"/>
    </row>
    <row r="214" spans="1:46" ht="6.6" customHeight="1" x14ac:dyDescent="0.2">
      <c r="A214" s="175"/>
      <c r="B214" s="63"/>
      <c r="C214" s="63"/>
      <c r="D214" s="63"/>
      <c r="E214" s="63"/>
      <c r="F214" s="63"/>
      <c r="G214" s="715"/>
      <c r="H214" s="715"/>
      <c r="I214" s="715"/>
      <c r="J214" s="715"/>
      <c r="K214" s="715"/>
      <c r="L214" s="715"/>
      <c r="M214" s="715"/>
      <c r="N214" s="715"/>
      <c r="O214" s="715"/>
      <c r="P214" s="715"/>
      <c r="Q214" s="715"/>
      <c r="R214" s="715"/>
      <c r="S214" s="715"/>
      <c r="T214" s="715"/>
      <c r="U214" s="715"/>
      <c r="V214" s="715"/>
      <c r="W214" s="715"/>
      <c r="X214" s="715"/>
      <c r="Y214" s="279"/>
      <c r="Z214" s="279"/>
      <c r="AA214" s="279"/>
      <c r="AB214" s="279"/>
      <c r="AC214" s="279"/>
      <c r="AD214" s="442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180"/>
      <c r="AQ214" s="612"/>
      <c r="AR214" s="613"/>
      <c r="AS214" s="613"/>
      <c r="AT214" s="614"/>
    </row>
    <row r="215" spans="1:46" ht="6.6" customHeight="1" x14ac:dyDescent="0.2">
      <c r="A215" s="181"/>
      <c r="B215" s="176"/>
      <c r="C215" s="176"/>
      <c r="D215" s="176"/>
      <c r="E215" s="176"/>
      <c r="F215" s="176"/>
      <c r="G215" s="176"/>
      <c r="H215" s="176"/>
      <c r="I215" s="176"/>
      <c r="J215" s="176"/>
      <c r="K215" s="176"/>
      <c r="L215" s="176"/>
      <c r="M215" s="176"/>
      <c r="N215" s="176"/>
      <c r="O215" s="176"/>
      <c r="P215" s="176"/>
      <c r="Q215" s="176"/>
      <c r="R215" s="176"/>
      <c r="S215" s="176"/>
      <c r="T215" s="176"/>
      <c r="U215" s="176"/>
      <c r="V215" s="176"/>
      <c r="W215" s="176"/>
      <c r="X215" s="176"/>
      <c r="Y215" s="176"/>
      <c r="Z215" s="176"/>
      <c r="AA215" s="176"/>
      <c r="AB215" s="176"/>
      <c r="AC215" s="176"/>
      <c r="AD215" s="176"/>
      <c r="AE215" s="176"/>
      <c r="AF215" s="176"/>
      <c r="AG215" s="176"/>
      <c r="AH215" s="176"/>
      <c r="AI215" s="176"/>
      <c r="AJ215" s="176"/>
      <c r="AK215" s="176"/>
      <c r="AL215" s="176"/>
      <c r="AM215" s="176"/>
      <c r="AN215" s="176"/>
      <c r="AO215" s="176"/>
      <c r="AP215" s="182"/>
      <c r="AQ215" s="615"/>
      <c r="AR215" s="616"/>
      <c r="AS215" s="616"/>
      <c r="AT215" s="617"/>
    </row>
    <row r="216" spans="1:46" ht="6.6" customHeight="1" x14ac:dyDescent="0.2">
      <c r="A216" s="629" t="s">
        <v>306</v>
      </c>
      <c r="B216" s="630"/>
      <c r="C216" s="630"/>
      <c r="D216" s="630"/>
      <c r="E216" s="630"/>
      <c r="F216" s="630"/>
      <c r="G216" s="630"/>
      <c r="H216" s="630"/>
      <c r="I216" s="630"/>
      <c r="J216" s="630"/>
      <c r="K216" s="630"/>
      <c r="L216" s="628" t="s">
        <v>309</v>
      </c>
      <c r="M216" s="312"/>
      <c r="N216" s="312"/>
      <c r="O216" s="388"/>
      <c r="P216" s="388"/>
      <c r="Q216" s="388"/>
      <c r="R216" s="388"/>
      <c r="S216" s="388"/>
      <c r="T216" s="388"/>
      <c r="U216" s="388"/>
      <c r="V216" s="388"/>
      <c r="W216" s="388"/>
      <c r="X216" s="388"/>
      <c r="Y216" s="388"/>
      <c r="Z216" s="388"/>
      <c r="AA216" s="388"/>
      <c r="AB216" s="388"/>
      <c r="AC216" s="388"/>
      <c r="AD216" s="388"/>
      <c r="AE216" s="388"/>
      <c r="AF216" s="388"/>
      <c r="AG216" s="388"/>
      <c r="AH216" s="388"/>
      <c r="AI216" s="388"/>
      <c r="AJ216" s="388"/>
      <c r="AK216" s="388"/>
      <c r="AL216" s="388"/>
      <c r="AM216" s="388"/>
      <c r="AN216" s="388"/>
      <c r="AO216" s="388"/>
      <c r="AP216" s="388"/>
      <c r="AQ216" s="312" t="str">
        <f>IF(O216,ROUND(MAX(A210:AT210),1),"")</f>
        <v/>
      </c>
      <c r="AR216" s="312"/>
      <c r="AS216" s="312"/>
      <c r="AT216" s="632"/>
    </row>
    <row r="217" spans="1:46" ht="6.6" customHeight="1" x14ac:dyDescent="0.2">
      <c r="A217" s="631"/>
      <c r="B217" s="630"/>
      <c r="C217" s="630"/>
      <c r="D217" s="630"/>
      <c r="E217" s="630"/>
      <c r="F217" s="630"/>
      <c r="G217" s="630"/>
      <c r="H217" s="630"/>
      <c r="I217" s="630"/>
      <c r="J217" s="630"/>
      <c r="K217" s="630"/>
      <c r="L217" s="312"/>
      <c r="M217" s="312"/>
      <c r="N217" s="312"/>
      <c r="O217" s="388"/>
      <c r="P217" s="388"/>
      <c r="Q217" s="388"/>
      <c r="R217" s="388"/>
      <c r="S217" s="388"/>
      <c r="T217" s="388"/>
      <c r="U217" s="388"/>
      <c r="V217" s="388"/>
      <c r="W217" s="388"/>
      <c r="X217" s="388"/>
      <c r="Y217" s="388"/>
      <c r="Z217" s="388"/>
      <c r="AA217" s="388"/>
      <c r="AB217" s="388"/>
      <c r="AC217" s="388"/>
      <c r="AD217" s="388"/>
      <c r="AE217" s="388"/>
      <c r="AF217" s="388"/>
      <c r="AG217" s="388"/>
      <c r="AH217" s="388"/>
      <c r="AI217" s="388"/>
      <c r="AJ217" s="388"/>
      <c r="AK217" s="388"/>
      <c r="AL217" s="388"/>
      <c r="AM217" s="388"/>
      <c r="AN217" s="388"/>
      <c r="AO217" s="388"/>
      <c r="AP217" s="388"/>
      <c r="AQ217" s="312"/>
      <c r="AR217" s="312"/>
      <c r="AS217" s="312"/>
      <c r="AT217" s="632"/>
    </row>
    <row r="218" spans="1:46" ht="6.6" customHeight="1" x14ac:dyDescent="0.2">
      <c r="A218" s="631"/>
      <c r="B218" s="630"/>
      <c r="C218" s="630"/>
      <c r="D218" s="630"/>
      <c r="E218" s="630"/>
      <c r="F218" s="630"/>
      <c r="G218" s="630"/>
      <c r="H218" s="630"/>
      <c r="I218" s="630"/>
      <c r="J218" s="630"/>
      <c r="K218" s="630"/>
      <c r="L218" s="312"/>
      <c r="M218" s="312"/>
      <c r="N218" s="312"/>
      <c r="O218" s="388"/>
      <c r="P218" s="388"/>
      <c r="Q218" s="388"/>
      <c r="R218" s="388"/>
      <c r="S218" s="388"/>
      <c r="T218" s="388"/>
      <c r="U218" s="388"/>
      <c r="V218" s="388"/>
      <c r="W218" s="388"/>
      <c r="X218" s="388"/>
      <c r="Y218" s="388"/>
      <c r="Z218" s="388"/>
      <c r="AA218" s="388"/>
      <c r="AB218" s="388"/>
      <c r="AC218" s="388"/>
      <c r="AD218" s="388"/>
      <c r="AE218" s="388"/>
      <c r="AF218" s="388"/>
      <c r="AG218" s="388"/>
      <c r="AH218" s="388"/>
      <c r="AI218" s="388"/>
      <c r="AJ218" s="388"/>
      <c r="AK218" s="388"/>
      <c r="AL218" s="388"/>
      <c r="AM218" s="388"/>
      <c r="AN218" s="388"/>
      <c r="AO218" s="388"/>
      <c r="AP218" s="388"/>
      <c r="AQ218" s="312"/>
      <c r="AR218" s="312"/>
      <c r="AS218" s="312"/>
      <c r="AT218" s="632"/>
    </row>
    <row r="219" spans="1:46" ht="6.6" customHeight="1" x14ac:dyDescent="0.2">
      <c r="A219" s="629" t="s">
        <v>308</v>
      </c>
      <c r="B219" s="630"/>
      <c r="C219" s="630"/>
      <c r="D219" s="630"/>
      <c r="E219" s="630"/>
      <c r="F219" s="630"/>
      <c r="G219" s="630"/>
      <c r="H219" s="630"/>
      <c r="I219" s="630"/>
      <c r="J219" s="630"/>
      <c r="K219" s="630"/>
      <c r="L219" s="628" t="s">
        <v>310</v>
      </c>
      <c r="M219" s="312"/>
      <c r="N219" s="312"/>
      <c r="O219" s="388"/>
      <c r="P219" s="388"/>
      <c r="Q219" s="388"/>
      <c r="R219" s="388"/>
      <c r="S219" s="388"/>
      <c r="T219" s="388"/>
      <c r="U219" s="388"/>
      <c r="V219" s="388"/>
      <c r="W219" s="388"/>
      <c r="X219" s="388"/>
      <c r="Y219" s="388"/>
      <c r="Z219" s="388"/>
      <c r="AA219" s="388"/>
      <c r="AB219" s="388"/>
      <c r="AC219" s="388"/>
      <c r="AD219" s="388"/>
      <c r="AE219" s="388"/>
      <c r="AF219" s="388"/>
      <c r="AG219" s="388"/>
      <c r="AH219" s="388"/>
      <c r="AI219" s="388"/>
      <c r="AJ219" s="388"/>
      <c r="AK219" s="388"/>
      <c r="AL219" s="388"/>
      <c r="AM219" s="388"/>
      <c r="AN219" s="388"/>
      <c r="AO219" s="388"/>
      <c r="AP219" s="388"/>
      <c r="AQ219" s="312" t="str">
        <f ca="1">IF(O219,INDIRECT(ADDRESS(209,MATCH(MAX(A211:AT211),A211:AT211,0))),"")</f>
        <v/>
      </c>
      <c r="AR219" s="312"/>
      <c r="AS219" s="312"/>
      <c r="AT219" s="632"/>
    </row>
    <row r="220" spans="1:46" ht="6.6" customHeight="1" x14ac:dyDescent="0.2">
      <c r="A220" s="631"/>
      <c r="B220" s="630"/>
      <c r="C220" s="630"/>
      <c r="D220" s="630"/>
      <c r="E220" s="630"/>
      <c r="F220" s="630"/>
      <c r="G220" s="630"/>
      <c r="H220" s="630"/>
      <c r="I220" s="630"/>
      <c r="J220" s="630"/>
      <c r="K220" s="630"/>
      <c r="L220" s="312"/>
      <c r="M220" s="312"/>
      <c r="N220" s="312"/>
      <c r="O220" s="388"/>
      <c r="P220" s="388"/>
      <c r="Q220" s="388"/>
      <c r="R220" s="388"/>
      <c r="S220" s="388"/>
      <c r="T220" s="388"/>
      <c r="U220" s="388"/>
      <c r="V220" s="388"/>
      <c r="W220" s="388"/>
      <c r="X220" s="388"/>
      <c r="Y220" s="388"/>
      <c r="Z220" s="388"/>
      <c r="AA220" s="388"/>
      <c r="AB220" s="388"/>
      <c r="AC220" s="388"/>
      <c r="AD220" s="388"/>
      <c r="AE220" s="388"/>
      <c r="AF220" s="388"/>
      <c r="AG220" s="388"/>
      <c r="AH220" s="388"/>
      <c r="AI220" s="388"/>
      <c r="AJ220" s="388"/>
      <c r="AK220" s="388"/>
      <c r="AL220" s="388"/>
      <c r="AM220" s="388"/>
      <c r="AN220" s="388"/>
      <c r="AO220" s="388"/>
      <c r="AP220" s="388"/>
      <c r="AQ220" s="312"/>
      <c r="AR220" s="312"/>
      <c r="AS220" s="312"/>
      <c r="AT220" s="632"/>
    </row>
    <row r="221" spans="1:46" ht="6.6" customHeight="1" x14ac:dyDescent="0.2">
      <c r="A221" s="631"/>
      <c r="B221" s="630"/>
      <c r="C221" s="630"/>
      <c r="D221" s="630"/>
      <c r="E221" s="630"/>
      <c r="F221" s="630"/>
      <c r="G221" s="630"/>
      <c r="H221" s="630"/>
      <c r="I221" s="630"/>
      <c r="J221" s="630"/>
      <c r="K221" s="630"/>
      <c r="L221" s="312"/>
      <c r="M221" s="312"/>
      <c r="N221" s="312"/>
      <c r="O221" s="388"/>
      <c r="P221" s="388"/>
      <c r="Q221" s="388"/>
      <c r="R221" s="388"/>
      <c r="S221" s="388"/>
      <c r="T221" s="388"/>
      <c r="U221" s="388"/>
      <c r="V221" s="388"/>
      <c r="W221" s="388"/>
      <c r="X221" s="388"/>
      <c r="Y221" s="388"/>
      <c r="Z221" s="388"/>
      <c r="AA221" s="388"/>
      <c r="AB221" s="388"/>
      <c r="AC221" s="388"/>
      <c r="AD221" s="388"/>
      <c r="AE221" s="388"/>
      <c r="AF221" s="388"/>
      <c r="AG221" s="388"/>
      <c r="AH221" s="388"/>
      <c r="AI221" s="388"/>
      <c r="AJ221" s="388"/>
      <c r="AK221" s="388"/>
      <c r="AL221" s="388"/>
      <c r="AM221" s="388"/>
      <c r="AN221" s="388"/>
      <c r="AO221" s="388"/>
      <c r="AP221" s="388"/>
      <c r="AQ221" s="312"/>
      <c r="AR221" s="312"/>
      <c r="AS221" s="312"/>
      <c r="AT221" s="632"/>
    </row>
    <row r="222" spans="1:46" ht="6.6" customHeight="1" x14ac:dyDescent="0.2">
      <c r="A222" s="629" t="s">
        <v>307</v>
      </c>
      <c r="B222" s="630"/>
      <c r="C222" s="630"/>
      <c r="D222" s="630"/>
      <c r="E222" s="630"/>
      <c r="F222" s="630"/>
      <c r="G222" s="630"/>
      <c r="H222" s="630"/>
      <c r="I222" s="630"/>
      <c r="J222" s="630"/>
      <c r="K222" s="630"/>
      <c r="L222" s="628" t="s">
        <v>311</v>
      </c>
      <c r="M222" s="312"/>
      <c r="N222" s="312"/>
      <c r="O222" s="312" t="str">
        <f>IF(O219,ROUND(O216/(100+O219)*100,1),"")</f>
        <v/>
      </c>
      <c r="P222" s="312"/>
      <c r="Q222" s="312"/>
      <c r="R222" s="312"/>
      <c r="S222" s="312" t="str">
        <f>IF(S219,ROUND(S216/(100+S219)*100,1),"")</f>
        <v/>
      </c>
      <c r="T222" s="312"/>
      <c r="U222" s="312"/>
      <c r="V222" s="312"/>
      <c r="W222" s="312" t="str">
        <f>IF(W219,ROUND(W216/(100+W219)*100,1),"")</f>
        <v/>
      </c>
      <c r="X222" s="312"/>
      <c r="Y222" s="312"/>
      <c r="Z222" s="312"/>
      <c r="AA222" s="312" t="str">
        <f>IF(AA219,ROUND(AA216/(100+AA219)*100,1),"")</f>
        <v/>
      </c>
      <c r="AB222" s="312"/>
      <c r="AC222" s="312"/>
      <c r="AD222" s="312"/>
      <c r="AE222" s="312" t="str">
        <f>IF(AE219,ROUND(AE216/(100+AE219)*100,1),"")</f>
        <v/>
      </c>
      <c r="AF222" s="312"/>
      <c r="AG222" s="312"/>
      <c r="AH222" s="312"/>
      <c r="AI222" s="312" t="str">
        <f>IF(AI219,ROUND(AI216/(100+AI219)*100,1),"")</f>
        <v/>
      </c>
      <c r="AJ222" s="312"/>
      <c r="AK222" s="312"/>
      <c r="AL222" s="312"/>
      <c r="AM222" s="312" t="str">
        <f>IF(AM219,ROUND(AM216/(100+AM219)*100,1),"")</f>
        <v/>
      </c>
      <c r="AN222" s="312"/>
      <c r="AO222" s="312"/>
      <c r="AP222" s="312"/>
      <c r="AQ222" s="312" t="str">
        <f>IF(O216,ROUND(MAX(A211:AT211),1),"")</f>
        <v/>
      </c>
      <c r="AR222" s="312"/>
      <c r="AS222" s="312"/>
      <c r="AT222" s="632"/>
    </row>
    <row r="223" spans="1:46" ht="6.6" customHeight="1" x14ac:dyDescent="0.2">
      <c r="A223" s="631"/>
      <c r="B223" s="630"/>
      <c r="C223" s="630"/>
      <c r="D223" s="630"/>
      <c r="E223" s="630"/>
      <c r="F223" s="630"/>
      <c r="G223" s="630"/>
      <c r="H223" s="630"/>
      <c r="I223" s="630"/>
      <c r="J223" s="630"/>
      <c r="K223" s="630"/>
      <c r="L223" s="312"/>
      <c r="M223" s="312"/>
      <c r="N223" s="312"/>
      <c r="O223" s="312"/>
      <c r="P223" s="312"/>
      <c r="Q223" s="312"/>
      <c r="R223" s="312"/>
      <c r="S223" s="312"/>
      <c r="T223" s="312"/>
      <c r="U223" s="312"/>
      <c r="V223" s="312"/>
      <c r="W223" s="312"/>
      <c r="X223" s="312"/>
      <c r="Y223" s="312"/>
      <c r="Z223" s="312"/>
      <c r="AA223" s="312"/>
      <c r="AB223" s="312"/>
      <c r="AC223" s="312"/>
      <c r="AD223" s="312"/>
      <c r="AE223" s="312"/>
      <c r="AF223" s="312"/>
      <c r="AG223" s="312"/>
      <c r="AH223" s="312"/>
      <c r="AI223" s="312"/>
      <c r="AJ223" s="312"/>
      <c r="AK223" s="312"/>
      <c r="AL223" s="312"/>
      <c r="AM223" s="312"/>
      <c r="AN223" s="312"/>
      <c r="AO223" s="312"/>
      <c r="AP223" s="312"/>
      <c r="AQ223" s="312"/>
      <c r="AR223" s="312"/>
      <c r="AS223" s="312"/>
      <c r="AT223" s="632"/>
    </row>
    <row r="224" spans="1:46" ht="6.6" customHeight="1" x14ac:dyDescent="0.2">
      <c r="A224" s="631"/>
      <c r="B224" s="630"/>
      <c r="C224" s="630"/>
      <c r="D224" s="630"/>
      <c r="E224" s="630"/>
      <c r="F224" s="630"/>
      <c r="G224" s="630"/>
      <c r="H224" s="630"/>
      <c r="I224" s="630"/>
      <c r="J224" s="630"/>
      <c r="K224" s="630"/>
      <c r="L224" s="312"/>
      <c r="M224" s="312"/>
      <c r="N224" s="312"/>
      <c r="O224" s="312"/>
      <c r="P224" s="312"/>
      <c r="Q224" s="312"/>
      <c r="R224" s="312"/>
      <c r="S224" s="312"/>
      <c r="T224" s="312"/>
      <c r="U224" s="312"/>
      <c r="V224" s="312"/>
      <c r="W224" s="312"/>
      <c r="X224" s="312"/>
      <c r="Y224" s="312"/>
      <c r="Z224" s="312"/>
      <c r="AA224" s="312"/>
      <c r="AB224" s="312"/>
      <c r="AC224" s="312"/>
      <c r="AD224" s="312"/>
      <c r="AE224" s="312"/>
      <c r="AF224" s="312"/>
      <c r="AG224" s="312"/>
      <c r="AH224" s="312"/>
      <c r="AI224" s="312"/>
      <c r="AJ224" s="312"/>
      <c r="AK224" s="312"/>
      <c r="AL224" s="312"/>
      <c r="AM224" s="312"/>
      <c r="AN224" s="312"/>
      <c r="AO224" s="312"/>
      <c r="AP224" s="312"/>
      <c r="AQ224" s="312"/>
      <c r="AR224" s="312"/>
      <c r="AS224" s="312"/>
      <c r="AT224" s="632"/>
    </row>
    <row r="225" spans="1:46" ht="6.6" customHeight="1" x14ac:dyDescent="0.2">
      <c r="A225" s="168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169"/>
    </row>
    <row r="226" spans="1:46" ht="6.6" customHeight="1" x14ac:dyDescent="0.2">
      <c r="A226" s="168"/>
      <c r="B226" s="280" t="s">
        <v>269</v>
      </c>
      <c r="C226" s="280"/>
      <c r="D226" s="280"/>
      <c r="E226" s="280"/>
      <c r="F226" s="276"/>
      <c r="G226" s="276"/>
      <c r="H226" s="276"/>
      <c r="I226" s="276"/>
      <c r="J226" s="276"/>
      <c r="K226" s="276"/>
      <c r="L226" s="64"/>
      <c r="M226" s="280" t="s">
        <v>270</v>
      </c>
      <c r="N226" s="280"/>
      <c r="O226" s="440"/>
      <c r="P226" s="440"/>
      <c r="Q226" s="440"/>
      <c r="R226" s="440"/>
      <c r="S226" s="440"/>
      <c r="T226" s="440"/>
      <c r="U226" s="64"/>
      <c r="V226" s="280" t="s">
        <v>271</v>
      </c>
      <c r="W226" s="280"/>
      <c r="X226" s="280"/>
      <c r="Y226" s="280"/>
      <c r="Z226" s="276"/>
      <c r="AA226" s="276"/>
      <c r="AB226" s="276"/>
      <c r="AC226" s="276"/>
      <c r="AD226" s="276"/>
      <c r="AE226" s="276"/>
      <c r="AF226" s="64"/>
      <c r="AG226" s="280" t="s">
        <v>270</v>
      </c>
      <c r="AH226" s="280"/>
      <c r="AI226" s="440"/>
      <c r="AJ226" s="440"/>
      <c r="AK226" s="440"/>
      <c r="AL226" s="440"/>
      <c r="AM226" s="440"/>
      <c r="AN226" s="440"/>
      <c r="AO226" s="64"/>
      <c r="AP226" s="64"/>
      <c r="AQ226" s="64"/>
      <c r="AR226" s="64"/>
      <c r="AS226" s="64"/>
      <c r="AT226" s="169"/>
    </row>
    <row r="227" spans="1:46" ht="6.6" customHeight="1" x14ac:dyDescent="0.2">
      <c r="A227" s="168"/>
      <c r="B227" s="280"/>
      <c r="C227" s="280"/>
      <c r="D227" s="280"/>
      <c r="E227" s="280"/>
      <c r="F227" s="279"/>
      <c r="G227" s="279"/>
      <c r="H227" s="279"/>
      <c r="I227" s="279"/>
      <c r="J227" s="279"/>
      <c r="K227" s="279"/>
      <c r="L227" s="64"/>
      <c r="M227" s="280"/>
      <c r="N227" s="280"/>
      <c r="O227" s="599"/>
      <c r="P227" s="599"/>
      <c r="Q227" s="599"/>
      <c r="R227" s="599"/>
      <c r="S227" s="599"/>
      <c r="T227" s="599"/>
      <c r="U227" s="64"/>
      <c r="V227" s="280"/>
      <c r="W227" s="280"/>
      <c r="X227" s="280"/>
      <c r="Y227" s="280"/>
      <c r="Z227" s="279"/>
      <c r="AA227" s="279"/>
      <c r="AB227" s="279"/>
      <c r="AC227" s="279"/>
      <c r="AD227" s="279"/>
      <c r="AE227" s="279"/>
      <c r="AF227" s="64"/>
      <c r="AG227" s="280"/>
      <c r="AH227" s="280"/>
      <c r="AI227" s="599"/>
      <c r="AJ227" s="599"/>
      <c r="AK227" s="599"/>
      <c r="AL227" s="599"/>
      <c r="AM227" s="599"/>
      <c r="AN227" s="599"/>
      <c r="AO227" s="64"/>
      <c r="AP227" s="64"/>
      <c r="AQ227" s="64"/>
      <c r="AR227" s="64"/>
      <c r="AS227" s="64"/>
      <c r="AT227" s="169"/>
    </row>
    <row r="228" spans="1:46" ht="6.6" customHeight="1" thickBot="1" x14ac:dyDescent="0.25">
      <c r="A228" s="171"/>
      <c r="B228" s="172"/>
      <c r="C228" s="172"/>
      <c r="D228" s="172"/>
      <c r="E228" s="172"/>
      <c r="F228" s="172"/>
      <c r="G228" s="172"/>
      <c r="H228" s="172"/>
      <c r="I228" s="172"/>
      <c r="J228" s="172"/>
      <c r="K228" s="172"/>
      <c r="L228" s="172"/>
      <c r="M228" s="172"/>
      <c r="N228" s="172"/>
      <c r="O228" s="172"/>
      <c r="P228" s="172"/>
      <c r="Q228" s="172"/>
      <c r="R228" s="172"/>
      <c r="S228" s="172"/>
      <c r="T228" s="172"/>
      <c r="U228" s="172"/>
      <c r="V228" s="172"/>
      <c r="W228" s="172"/>
      <c r="X228" s="172"/>
      <c r="Y228" s="172"/>
      <c r="Z228" s="172"/>
      <c r="AA228" s="172"/>
      <c r="AB228" s="172"/>
      <c r="AC228" s="172"/>
      <c r="AD228" s="172"/>
      <c r="AE228" s="172"/>
      <c r="AF228" s="172"/>
      <c r="AG228" s="172"/>
      <c r="AH228" s="172"/>
      <c r="AI228" s="172"/>
      <c r="AJ228" s="172"/>
      <c r="AK228" s="172"/>
      <c r="AL228" s="172"/>
      <c r="AM228" s="172"/>
      <c r="AN228" s="172"/>
      <c r="AO228" s="172"/>
      <c r="AP228" s="172"/>
      <c r="AQ228" s="172"/>
      <c r="AR228" s="172"/>
      <c r="AS228" s="172"/>
      <c r="AT228" s="173"/>
    </row>
    <row r="229" spans="1:46" ht="6.6" customHeight="1" x14ac:dyDescent="0.2">
      <c r="Z229" s="184">
        <f t="array" aca="1" ref="Z229:AD229" ca="1">LINEST(INDIRECT(ADDRESS(246,21)&amp;":"&amp;ADDRESS(246+W246-1,21)),INDIRECT(ADDRESS(246,20)&amp;":"&amp;ADDRESS(246+W246-1,20))^{1,2,3,4},TRUE,FALSE)</f>
        <v>0</v>
      </c>
      <c r="AA229" s="184">
        <f ca="1"/>
        <v>0</v>
      </c>
      <c r="AB229" s="184">
        <f ca="1"/>
        <v>0</v>
      </c>
      <c r="AC229" s="184">
        <f ca="1"/>
        <v>0</v>
      </c>
      <c r="AD229" s="184">
        <f ca="1"/>
        <v>0</v>
      </c>
      <c r="AE229" s="184"/>
    </row>
    <row r="230" spans="1:46" ht="6.6" customHeight="1" x14ac:dyDescent="0.2">
      <c r="Z230" s="184" t="e">
        <f t="array" aca="1" ref="Z230:AD230" ca="1">LINEST(INDIRECT(ADDRESS(246,22)&amp;":"&amp;ADDRESS(246+W246-1,22)),INDIRECT(ADDRESS(246,20)&amp;":"&amp;ADDRESS(246+W246-1,20))^{1,2,3,4},TRUE,FALSE)</f>
        <v>#VALUE!</v>
      </c>
      <c r="AA230" s="184" t="e">
        <f ca="1"/>
        <v>#VALUE!</v>
      </c>
      <c r="AB230" s="184" t="e">
        <f ca="1"/>
        <v>#VALUE!</v>
      </c>
      <c r="AC230" s="184" t="e">
        <f ca="1"/>
        <v>#VALUE!</v>
      </c>
      <c r="AD230" s="184" t="e">
        <f ca="1"/>
        <v>#VALUE!</v>
      </c>
      <c r="AE230" s="184"/>
    </row>
    <row r="231" spans="1:46" ht="6.6" customHeight="1" thickBot="1" x14ac:dyDescent="0.25"/>
    <row r="232" spans="1:46" ht="6.6" customHeight="1" x14ac:dyDescent="0.2">
      <c r="A232" s="619" t="s">
        <v>312</v>
      </c>
      <c r="B232" s="620"/>
      <c r="C232" s="620"/>
      <c r="D232" s="620"/>
      <c r="E232" s="620"/>
      <c r="F232" s="620"/>
      <c r="G232" s="620"/>
      <c r="H232" s="620"/>
      <c r="I232" s="620"/>
      <c r="J232" s="620"/>
      <c r="K232" s="620"/>
      <c r="L232" s="620"/>
      <c r="M232" s="620"/>
      <c r="N232" s="620"/>
      <c r="O232" s="620"/>
      <c r="P232" s="620"/>
      <c r="Q232" s="620"/>
      <c r="R232" s="620"/>
      <c r="S232" s="620"/>
      <c r="T232" s="620"/>
      <c r="U232" s="620"/>
      <c r="V232" s="620"/>
      <c r="W232" s="620"/>
      <c r="X232" s="620"/>
      <c r="Y232" s="620"/>
      <c r="Z232" s="620"/>
      <c r="AA232" s="620"/>
      <c r="AB232" s="620"/>
      <c r="AC232" s="620"/>
      <c r="AD232" s="620"/>
      <c r="AE232" s="620"/>
      <c r="AF232" s="620"/>
      <c r="AG232" s="620"/>
      <c r="AH232" s="620"/>
      <c r="AI232" s="620"/>
      <c r="AJ232" s="620"/>
      <c r="AK232" s="620"/>
      <c r="AL232" s="620"/>
      <c r="AM232" s="620"/>
      <c r="AN232" s="620"/>
      <c r="AO232" s="620"/>
      <c r="AP232" s="620"/>
      <c r="AQ232" s="620"/>
      <c r="AR232" s="620"/>
      <c r="AS232" s="620"/>
      <c r="AT232" s="621"/>
    </row>
    <row r="233" spans="1:46" ht="6.6" customHeight="1" x14ac:dyDescent="0.2">
      <c r="A233" s="622"/>
      <c r="B233" s="335"/>
      <c r="C233" s="335"/>
      <c r="D233" s="335"/>
      <c r="E233" s="335"/>
      <c r="F233" s="335"/>
      <c r="G233" s="335"/>
      <c r="H233" s="335"/>
      <c r="I233" s="335"/>
      <c r="J233" s="335"/>
      <c r="K233" s="335"/>
      <c r="L233" s="335"/>
      <c r="M233" s="335"/>
      <c r="N233" s="335"/>
      <c r="O233" s="335"/>
      <c r="P233" s="335"/>
      <c r="Q233" s="335"/>
      <c r="R233" s="335"/>
      <c r="S233" s="335"/>
      <c r="T233" s="335"/>
      <c r="U233" s="335"/>
      <c r="V233" s="335"/>
      <c r="W233" s="335"/>
      <c r="X233" s="335"/>
      <c r="Y233" s="335"/>
      <c r="Z233" s="335"/>
      <c r="AA233" s="335"/>
      <c r="AB233" s="335"/>
      <c r="AC233" s="335"/>
      <c r="AD233" s="335"/>
      <c r="AE233" s="335"/>
      <c r="AF233" s="335"/>
      <c r="AG233" s="335"/>
      <c r="AH233" s="335"/>
      <c r="AI233" s="335"/>
      <c r="AJ233" s="335"/>
      <c r="AK233" s="335"/>
      <c r="AL233" s="335"/>
      <c r="AM233" s="335"/>
      <c r="AN233" s="335"/>
      <c r="AO233" s="335"/>
      <c r="AP233" s="335"/>
      <c r="AQ233" s="335"/>
      <c r="AR233" s="335"/>
      <c r="AS233" s="335"/>
      <c r="AT233" s="623"/>
    </row>
    <row r="234" spans="1:46" ht="6.6" customHeight="1" x14ac:dyDescent="0.2">
      <c r="A234" s="624"/>
      <c r="B234" s="338"/>
      <c r="C234" s="338"/>
      <c r="D234" s="338"/>
      <c r="E234" s="338"/>
      <c r="F234" s="338"/>
      <c r="G234" s="338"/>
      <c r="H234" s="338"/>
      <c r="I234" s="338"/>
      <c r="J234" s="338"/>
      <c r="K234" s="338"/>
      <c r="L234" s="338"/>
      <c r="M234" s="338"/>
      <c r="N234" s="338"/>
      <c r="O234" s="338"/>
      <c r="P234" s="338"/>
      <c r="Q234" s="338"/>
      <c r="R234" s="338"/>
      <c r="S234" s="338"/>
      <c r="T234" s="338"/>
      <c r="U234" s="338"/>
      <c r="V234" s="338"/>
      <c r="W234" s="338"/>
      <c r="X234" s="338"/>
      <c r="Y234" s="338"/>
      <c r="Z234" s="338"/>
      <c r="AA234" s="338"/>
      <c r="AB234" s="338"/>
      <c r="AC234" s="338"/>
      <c r="AD234" s="338"/>
      <c r="AE234" s="338"/>
      <c r="AF234" s="338"/>
      <c r="AG234" s="338"/>
      <c r="AH234" s="338"/>
      <c r="AI234" s="338"/>
      <c r="AJ234" s="338"/>
      <c r="AK234" s="338"/>
      <c r="AL234" s="338"/>
      <c r="AM234" s="338"/>
      <c r="AN234" s="338"/>
      <c r="AO234" s="338"/>
      <c r="AP234" s="338"/>
      <c r="AQ234" s="338"/>
      <c r="AR234" s="338"/>
      <c r="AS234" s="338"/>
      <c r="AT234" s="625"/>
    </row>
    <row r="235" spans="1:46" ht="6.6" customHeight="1" x14ac:dyDescent="0.2">
      <c r="A235" s="168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27" t="s">
        <v>269</v>
      </c>
      <c r="AJ235" s="294"/>
      <c r="AK235" s="294"/>
      <c r="AL235" s="294"/>
      <c r="AM235" s="79"/>
      <c r="AN235" s="281"/>
      <c r="AO235" s="281"/>
      <c r="AP235" s="281"/>
      <c r="AQ235" s="281"/>
      <c r="AR235" s="281"/>
      <c r="AS235" s="281"/>
      <c r="AT235" s="178"/>
    </row>
    <row r="236" spans="1:46" ht="6.6" customHeight="1" x14ac:dyDescent="0.2">
      <c r="A236" s="168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597"/>
      <c r="AJ236" s="280"/>
      <c r="AK236" s="280"/>
      <c r="AL236" s="280"/>
      <c r="AM236" s="64"/>
      <c r="AN236" s="279"/>
      <c r="AO236" s="279"/>
      <c r="AP236" s="279"/>
      <c r="AQ236" s="279"/>
      <c r="AR236" s="279"/>
      <c r="AS236" s="279"/>
      <c r="AT236" s="169"/>
    </row>
    <row r="237" spans="1:46" ht="6.6" customHeight="1" x14ac:dyDescent="0.2">
      <c r="A237" s="597" t="s">
        <v>313</v>
      </c>
      <c r="B237" s="280"/>
      <c r="C237" s="280"/>
      <c r="D237" s="280"/>
      <c r="E237" s="276"/>
      <c r="F237" s="276"/>
      <c r="G237" s="276"/>
      <c r="H237" s="276"/>
      <c r="I237" s="276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280" t="s">
        <v>317</v>
      </c>
      <c r="W237" s="280"/>
      <c r="X237" s="280"/>
      <c r="Y237" s="441"/>
      <c r="Z237" s="441"/>
      <c r="AA237" s="441"/>
      <c r="AB237" s="441"/>
      <c r="AC237" s="441"/>
      <c r="AD237" s="441"/>
      <c r="AE237" s="441"/>
      <c r="AF237" s="441"/>
      <c r="AG237" s="64"/>
      <c r="AH237" s="64"/>
      <c r="AI237" s="597" t="s">
        <v>270</v>
      </c>
      <c r="AJ237" s="280"/>
      <c r="AK237" s="280"/>
      <c r="AL237" s="280"/>
      <c r="AM237" s="64"/>
      <c r="AN237" s="598"/>
      <c r="AO237" s="598"/>
      <c r="AP237" s="598"/>
      <c r="AQ237" s="598"/>
      <c r="AR237" s="598"/>
      <c r="AS237" s="598"/>
      <c r="AT237" s="169"/>
    </row>
    <row r="238" spans="1:46" ht="6.6" customHeight="1" x14ac:dyDescent="0.2">
      <c r="A238" s="597"/>
      <c r="B238" s="280"/>
      <c r="C238" s="280"/>
      <c r="D238" s="280"/>
      <c r="E238" s="279"/>
      <c r="F238" s="279"/>
      <c r="G238" s="279"/>
      <c r="H238" s="279"/>
      <c r="I238" s="279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280"/>
      <c r="W238" s="280"/>
      <c r="X238" s="280"/>
      <c r="Y238" s="626"/>
      <c r="Z238" s="626"/>
      <c r="AA238" s="626"/>
      <c r="AB238" s="626"/>
      <c r="AC238" s="626"/>
      <c r="AD238" s="626"/>
      <c r="AE238" s="626"/>
      <c r="AF238" s="626"/>
      <c r="AG238" s="64"/>
      <c r="AH238" s="64"/>
      <c r="AI238" s="597"/>
      <c r="AJ238" s="280"/>
      <c r="AK238" s="280"/>
      <c r="AL238" s="280"/>
      <c r="AM238" s="64"/>
      <c r="AN238" s="599"/>
      <c r="AO238" s="599"/>
      <c r="AP238" s="599"/>
      <c r="AQ238" s="599"/>
      <c r="AR238" s="599"/>
      <c r="AS238" s="599"/>
      <c r="AT238" s="169"/>
    </row>
    <row r="239" spans="1:46" ht="6.6" customHeight="1" x14ac:dyDescent="0.2">
      <c r="A239" s="168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597" t="s">
        <v>271</v>
      </c>
      <c r="AJ239" s="280"/>
      <c r="AK239" s="280"/>
      <c r="AL239" s="280"/>
      <c r="AM239" s="64"/>
      <c r="AN239" s="281"/>
      <c r="AO239" s="281"/>
      <c r="AP239" s="281"/>
      <c r="AQ239" s="281"/>
      <c r="AR239" s="281"/>
      <c r="AS239" s="281"/>
      <c r="AT239" s="169"/>
    </row>
    <row r="240" spans="1:46" ht="6.6" customHeight="1" x14ac:dyDescent="0.2">
      <c r="A240" s="168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597"/>
      <c r="AJ240" s="280"/>
      <c r="AK240" s="280"/>
      <c r="AL240" s="280"/>
      <c r="AM240" s="64"/>
      <c r="AN240" s="279"/>
      <c r="AO240" s="279"/>
      <c r="AP240" s="279"/>
      <c r="AQ240" s="279"/>
      <c r="AR240" s="279"/>
      <c r="AS240" s="279"/>
      <c r="AT240" s="169"/>
    </row>
    <row r="241" spans="1:62" ht="6.6" customHeight="1" x14ac:dyDescent="0.2">
      <c r="A241" s="597" t="s">
        <v>314</v>
      </c>
      <c r="B241" s="280"/>
      <c r="C241" s="280"/>
      <c r="D241" s="280"/>
      <c r="E241" s="276"/>
      <c r="F241" s="276"/>
      <c r="G241" s="276"/>
      <c r="H241" s="276"/>
      <c r="I241" s="276"/>
      <c r="J241" s="64"/>
      <c r="K241" s="280" t="s">
        <v>315</v>
      </c>
      <c r="L241" s="280"/>
      <c r="M241" s="280"/>
      <c r="N241" s="280"/>
      <c r="O241" s="280"/>
      <c r="P241" s="280"/>
      <c r="Q241" s="276"/>
      <c r="R241" s="276"/>
      <c r="S241" s="276"/>
      <c r="T241" s="276"/>
      <c r="U241" s="276"/>
      <c r="V241" s="64"/>
      <c r="W241" s="292" t="s">
        <v>316</v>
      </c>
      <c r="X241" s="292"/>
      <c r="Y241" s="292"/>
      <c r="Z241" s="292"/>
      <c r="AA241" s="292"/>
      <c r="AB241" s="276"/>
      <c r="AC241" s="276"/>
      <c r="AD241" s="276"/>
      <c r="AE241" s="276"/>
      <c r="AF241" s="276"/>
      <c r="AG241" s="64"/>
      <c r="AH241" s="64"/>
      <c r="AI241" s="597" t="s">
        <v>270</v>
      </c>
      <c r="AJ241" s="280"/>
      <c r="AK241" s="280"/>
      <c r="AL241" s="280"/>
      <c r="AM241" s="64"/>
      <c r="AN241" s="598"/>
      <c r="AO241" s="598"/>
      <c r="AP241" s="598"/>
      <c r="AQ241" s="598"/>
      <c r="AR241" s="598"/>
      <c r="AS241" s="598"/>
      <c r="AT241" s="169"/>
    </row>
    <row r="242" spans="1:62" ht="6.6" customHeight="1" x14ac:dyDescent="0.2">
      <c r="A242" s="597"/>
      <c r="B242" s="280"/>
      <c r="C242" s="280"/>
      <c r="D242" s="280"/>
      <c r="E242" s="279"/>
      <c r="F242" s="279"/>
      <c r="G242" s="279"/>
      <c r="H242" s="279"/>
      <c r="I242" s="279"/>
      <c r="J242" s="64"/>
      <c r="K242" s="280"/>
      <c r="L242" s="280"/>
      <c r="M242" s="280"/>
      <c r="N242" s="280"/>
      <c r="O242" s="280"/>
      <c r="P242" s="280"/>
      <c r="Q242" s="279"/>
      <c r="R242" s="279"/>
      <c r="S242" s="279"/>
      <c r="T242" s="279"/>
      <c r="U242" s="279"/>
      <c r="V242" s="64"/>
      <c r="W242" s="292"/>
      <c r="X242" s="292"/>
      <c r="Y242" s="292"/>
      <c r="Z242" s="292"/>
      <c r="AA242" s="292"/>
      <c r="AB242" s="279"/>
      <c r="AC242" s="279"/>
      <c r="AD242" s="279"/>
      <c r="AE242" s="279"/>
      <c r="AF242" s="279"/>
      <c r="AG242" s="64"/>
      <c r="AH242" s="64"/>
      <c r="AI242" s="597"/>
      <c r="AJ242" s="280"/>
      <c r="AK242" s="280"/>
      <c r="AL242" s="280"/>
      <c r="AM242" s="64"/>
      <c r="AN242" s="599"/>
      <c r="AO242" s="599"/>
      <c r="AP242" s="599"/>
      <c r="AQ242" s="599"/>
      <c r="AR242" s="599"/>
      <c r="AS242" s="599"/>
      <c r="AT242" s="169"/>
    </row>
    <row r="243" spans="1:62" ht="6.6" customHeight="1" thickBot="1" x14ac:dyDescent="0.25">
      <c r="A243" s="171"/>
      <c r="B243" s="172"/>
      <c r="C243" s="172"/>
      <c r="D243" s="172"/>
      <c r="E243" s="172"/>
      <c r="F243" s="172"/>
      <c r="G243" s="172"/>
      <c r="H243" s="172"/>
      <c r="I243" s="172"/>
      <c r="J243" s="172"/>
      <c r="K243" s="172"/>
      <c r="L243" s="172"/>
      <c r="M243" s="172"/>
      <c r="N243" s="172"/>
      <c r="O243" s="172"/>
      <c r="P243" s="172"/>
      <c r="Q243" s="172"/>
      <c r="R243" s="172"/>
      <c r="S243" s="172"/>
      <c r="T243" s="172"/>
      <c r="U243" s="172"/>
      <c r="V243" s="172"/>
      <c r="W243" s="172"/>
      <c r="X243" s="172"/>
      <c r="Y243" s="172"/>
      <c r="Z243" s="172"/>
      <c r="AA243" s="172"/>
      <c r="AB243" s="172"/>
      <c r="AC243" s="172"/>
      <c r="AD243" s="172"/>
      <c r="AE243" s="172"/>
      <c r="AF243" s="172"/>
      <c r="AG243" s="172"/>
      <c r="AH243" s="172"/>
      <c r="AI243" s="171"/>
      <c r="AJ243" s="172"/>
      <c r="AK243" s="172"/>
      <c r="AL243" s="172"/>
      <c r="AM243" s="172"/>
      <c r="AN243" s="172"/>
      <c r="AO243" s="172"/>
      <c r="AP243" s="172"/>
      <c r="AQ243" s="172"/>
      <c r="AR243" s="172"/>
      <c r="AS243" s="172"/>
      <c r="AT243" s="173"/>
    </row>
    <row r="244" spans="1:62" x14ac:dyDescent="0.2">
      <c r="A244" s="219"/>
      <c r="B244" s="219"/>
      <c r="C244" s="219"/>
      <c r="D244" s="219"/>
      <c r="E244" s="219"/>
      <c r="F244" s="219"/>
      <c r="G244" s="219"/>
      <c r="H244" s="219"/>
      <c r="I244" s="219"/>
      <c r="J244" s="219"/>
      <c r="K244" s="219"/>
      <c r="L244" s="219"/>
      <c r="M244" s="219"/>
      <c r="N244" s="219"/>
      <c r="O244" s="219"/>
      <c r="P244" s="219"/>
      <c r="Q244" s="219"/>
      <c r="R244" s="219"/>
      <c r="S244" s="219"/>
      <c r="T244" s="219"/>
      <c r="U244" s="219"/>
      <c r="V244" s="219"/>
      <c r="W244" s="219"/>
      <c r="X244" s="219"/>
      <c r="Y244" s="219"/>
      <c r="Z244" s="219"/>
      <c r="AA244" s="219"/>
      <c r="AB244" s="219"/>
      <c r="AC244" s="219"/>
      <c r="AD244" s="219"/>
      <c r="AE244" s="219"/>
      <c r="AF244" s="184"/>
      <c r="AG244" s="184"/>
      <c r="AH244" s="184"/>
      <c r="AI244" s="184"/>
      <c r="AJ244" s="184"/>
      <c r="AK244" s="184"/>
      <c r="AL244" s="184"/>
      <c r="AM244" s="184"/>
      <c r="AN244" s="184"/>
      <c r="AO244" s="184"/>
      <c r="AP244" s="184"/>
      <c r="AQ244" s="184"/>
      <c r="AR244" s="184"/>
      <c r="AS244" s="184"/>
      <c r="AT244" s="184"/>
    </row>
    <row r="245" spans="1:62" ht="12.75" x14ac:dyDescent="0.2">
      <c r="A245" s="184"/>
      <c r="B245" s="184"/>
      <c r="C245" s="184"/>
      <c r="D245" s="184"/>
      <c r="E245" s="184"/>
      <c r="F245" s="184"/>
      <c r="G245" s="184"/>
      <c r="H245" s="184"/>
      <c r="I245" s="184"/>
      <c r="J245" s="184"/>
      <c r="K245" s="184"/>
      <c r="L245" s="273">
        <v>1</v>
      </c>
      <c r="M245" s="273" t="s">
        <v>332</v>
      </c>
      <c r="N245" s="273" t="s">
        <v>333</v>
      </c>
      <c r="O245" s="273">
        <f>IF(AP84&gt;80,L245,"")</f>
        <v>1</v>
      </c>
      <c r="P245" s="184"/>
      <c r="Q245" s="184" t="str">
        <f>AP82</f>
        <v/>
      </c>
      <c r="R245" s="184">
        <v>0</v>
      </c>
      <c r="S245" s="184"/>
      <c r="T245" s="184"/>
      <c r="U245" s="184"/>
      <c r="V245" s="184"/>
      <c r="W245" s="184"/>
      <c r="X245" s="184"/>
      <c r="Y245" s="219"/>
      <c r="Z245" s="219"/>
      <c r="AA245" s="219"/>
      <c r="AB245" s="219"/>
      <c r="AC245" s="219"/>
      <c r="AD245" s="219"/>
      <c r="AE245" s="219"/>
      <c r="AF245" s="219"/>
      <c r="AG245" s="219"/>
      <c r="AH245" s="184"/>
      <c r="AI245" s="184"/>
      <c r="AJ245" s="184"/>
      <c r="AK245" s="184"/>
      <c r="AL245" s="184"/>
      <c r="AM245" s="184"/>
      <c r="AN245" s="184"/>
      <c r="AO245" s="184"/>
      <c r="AP245" s="184"/>
      <c r="AQ245" s="184"/>
      <c r="AR245" s="184"/>
      <c r="AS245" s="184"/>
      <c r="AT245" s="184"/>
      <c r="AY245" s="228"/>
      <c r="AZ245" s="228"/>
      <c r="BA245" s="228"/>
      <c r="BB245" s="228"/>
      <c r="BC245" s="219"/>
      <c r="BD245" s="219"/>
      <c r="BE245" s="219"/>
      <c r="BF245" s="219"/>
      <c r="BG245" s="219"/>
      <c r="BH245" s="219"/>
      <c r="BI245" s="219"/>
      <c r="BJ245" s="219"/>
    </row>
    <row r="246" spans="1:62" ht="12.75" x14ac:dyDescent="0.2">
      <c r="A246" s="184">
        <v>20</v>
      </c>
      <c r="B246" s="184">
        <v>0.97330000000000005</v>
      </c>
      <c r="C246" s="184">
        <v>1</v>
      </c>
      <c r="D246" s="184" t="s">
        <v>328</v>
      </c>
      <c r="E246" s="184" t="str">
        <f>IF(AO89&gt;=15,C246,"")</f>
        <v/>
      </c>
      <c r="F246" s="184"/>
      <c r="G246" s="184" t="s">
        <v>331</v>
      </c>
      <c r="H246" s="184"/>
      <c r="I246" s="184"/>
      <c r="J246" s="184"/>
      <c r="K246" s="184"/>
      <c r="L246" s="273">
        <v>2</v>
      </c>
      <c r="M246" s="273" t="s">
        <v>334</v>
      </c>
      <c r="N246" s="273" t="s">
        <v>335</v>
      </c>
      <c r="O246" s="273" t="str">
        <f>IF(AND(AP86&gt;=0,AP86&lt;20,AP84&gt;50),L246,"")</f>
        <v/>
      </c>
      <c r="P246" s="184"/>
      <c r="Q246" s="184" t="e">
        <f>AP82/2+50</f>
        <v>#VALUE!</v>
      </c>
      <c r="R246" s="184" t="e">
        <f>100-AP82</f>
        <v>#VALUE!</v>
      </c>
      <c r="S246" s="184"/>
      <c r="T246" s="184">
        <f>IF(SUM(O216:AP218)&gt;0,IF(O219,O219,""),0)</f>
        <v>0</v>
      </c>
      <c r="U246" s="184">
        <f>IF(SUM(O219:AP221)&gt;0,IF(O216,O216,""),0)</f>
        <v>0</v>
      </c>
      <c r="V246" s="184" t="e">
        <f>IF(O222,O222,"")</f>
        <v>#VALUE!</v>
      </c>
      <c r="W246" s="184">
        <f>IF(COUNT(T246:T252)=0,1,COUNT(T246:T252))</f>
        <v>1</v>
      </c>
      <c r="X246" s="184"/>
      <c r="Y246" s="219"/>
      <c r="Z246" s="219"/>
      <c r="AA246" s="219"/>
      <c r="AB246" s="219"/>
      <c r="AC246" s="219"/>
      <c r="AD246" s="219"/>
      <c r="AE246" s="219"/>
      <c r="AF246" s="219"/>
      <c r="AG246" s="219"/>
      <c r="AH246" s="184"/>
      <c r="AI246" s="184"/>
      <c r="AJ246" s="184"/>
      <c r="AK246" s="184"/>
      <c r="AL246" s="184"/>
      <c r="AM246" s="184"/>
      <c r="AN246" s="184"/>
      <c r="AO246" s="184"/>
      <c r="AP246" s="184"/>
      <c r="AQ246" s="184"/>
      <c r="AR246" s="184"/>
      <c r="AS246" s="184"/>
      <c r="AT246" s="184"/>
      <c r="AY246" s="228"/>
      <c r="AZ246" s="228"/>
      <c r="BA246" s="228"/>
      <c r="BB246" s="228"/>
      <c r="BC246" s="219"/>
      <c r="BD246" s="219"/>
      <c r="BE246" s="219"/>
      <c r="BF246" s="219"/>
      <c r="BG246" s="219"/>
      <c r="BH246" s="219"/>
      <c r="BI246" s="219"/>
      <c r="BJ246" s="219"/>
    </row>
    <row r="247" spans="1:62" ht="12.75" x14ac:dyDescent="0.2">
      <c r="A247" s="184">
        <v>21</v>
      </c>
      <c r="B247" s="184">
        <v>0.97909999999999997</v>
      </c>
      <c r="C247" s="184">
        <v>2</v>
      </c>
      <c r="D247" s="184" t="s">
        <v>318</v>
      </c>
      <c r="E247" s="184" t="str">
        <f>IF(AE94&lt;&gt;"",IF(AND(AP73&lt;=50, AP75&lt;=30, AP78&lt;=15, AE94&lt;=6),C247,""),"")</f>
        <v/>
      </c>
      <c r="F247" s="274">
        <v>0</v>
      </c>
      <c r="G247" s="184"/>
      <c r="H247" s="184"/>
      <c r="I247" s="184"/>
      <c r="J247" s="184"/>
      <c r="K247" s="184"/>
      <c r="L247" s="273">
        <v>3</v>
      </c>
      <c r="M247" s="273" t="s">
        <v>336</v>
      </c>
      <c r="N247" s="273" t="s">
        <v>337</v>
      </c>
      <c r="O247" s="273" t="str">
        <f>IF(AND(AP86&gt;=0,AP86&lt;20,AP82&lt;50, AP84&lt;=50),L247,"")</f>
        <v/>
      </c>
      <c r="P247" s="184"/>
      <c r="Q247" s="184"/>
      <c r="R247" s="184"/>
      <c r="S247" s="184"/>
      <c r="T247" s="184" t="str">
        <f>IF(S219,S219,"")</f>
        <v/>
      </c>
      <c r="U247" s="184" t="str">
        <f>IF(S216,S216,"")</f>
        <v/>
      </c>
      <c r="V247" s="184" t="e">
        <f>IF(S222,S222,"")</f>
        <v>#VALUE!</v>
      </c>
      <c r="W247" s="184"/>
      <c r="X247" s="184"/>
      <c r="Y247" s="219"/>
      <c r="Z247" s="219"/>
      <c r="AA247" s="219"/>
      <c r="AB247" s="219"/>
      <c r="AC247" s="219"/>
      <c r="AD247" s="219"/>
      <c r="AE247" s="219"/>
      <c r="AF247" s="219"/>
      <c r="AG247" s="219"/>
      <c r="AH247" s="184"/>
      <c r="AI247" s="184"/>
      <c r="AJ247" s="184"/>
      <c r="AK247" s="184"/>
      <c r="AL247" s="184"/>
      <c r="AM247" s="184"/>
      <c r="AN247" s="184"/>
      <c r="AO247" s="184"/>
      <c r="AP247" s="184"/>
      <c r="AQ247" s="184"/>
      <c r="AR247" s="184"/>
      <c r="AS247" s="184"/>
      <c r="AT247" s="184"/>
      <c r="AY247" s="228"/>
      <c r="AZ247" s="228"/>
      <c r="BA247" s="228"/>
      <c r="BB247" s="228"/>
      <c r="BC247" s="219"/>
      <c r="BD247" s="219"/>
      <c r="BE247" s="219"/>
      <c r="BF247" s="219"/>
      <c r="BG247" s="219"/>
      <c r="BH247" s="219"/>
      <c r="BI247" s="219"/>
      <c r="BJ247" s="219"/>
    </row>
    <row r="248" spans="1:62" ht="12.75" x14ac:dyDescent="0.2">
      <c r="A248" s="184">
        <v>22</v>
      </c>
      <c r="B248" s="184">
        <v>0.98460000000000003</v>
      </c>
      <c r="C248" s="184">
        <v>3</v>
      </c>
      <c r="D248" s="184" t="s">
        <v>319</v>
      </c>
      <c r="E248" s="184" t="str">
        <f>IF(AE94&lt;&gt;"",IF(AND(AP75&lt;=50, AP78&lt;=25, AE94&lt;=6),C248,""),"")</f>
        <v/>
      </c>
      <c r="F248" s="274">
        <v>0</v>
      </c>
      <c r="G248" s="184"/>
      <c r="H248" s="184"/>
      <c r="I248" s="184"/>
      <c r="J248" s="184"/>
      <c r="K248" s="184"/>
      <c r="L248" s="273">
        <v>4</v>
      </c>
      <c r="M248" s="273" t="s">
        <v>338</v>
      </c>
      <c r="N248" s="273" t="s">
        <v>339</v>
      </c>
      <c r="O248" s="273" t="str">
        <f>IF(AND(AP86&gt;=0,AP86&lt;20,AP82&gt;=50, AP82&lt;80),L248,"")</f>
        <v/>
      </c>
      <c r="P248" s="184"/>
      <c r="Q248" s="184" t="e">
        <f>100-AP84</f>
        <v>#VALUE!</v>
      </c>
      <c r="R248" s="184">
        <v>0</v>
      </c>
      <c r="S248" s="184"/>
      <c r="T248" s="184" t="str">
        <f>IF(W219,W219,"")</f>
        <v/>
      </c>
      <c r="U248" s="184" t="str">
        <f>IF(W216,W216,"")</f>
        <v/>
      </c>
      <c r="V248" s="184" t="e">
        <f>IF(W222,W222,"")</f>
        <v>#VALUE!</v>
      </c>
      <c r="W248" s="184"/>
      <c r="X248" s="184"/>
      <c r="Y248" s="219"/>
      <c r="Z248" s="219"/>
      <c r="AA248" s="219"/>
      <c r="AB248" s="219"/>
      <c r="AC248" s="219"/>
      <c r="AD248" s="219"/>
      <c r="AE248" s="219"/>
      <c r="AF248" s="219"/>
      <c r="AG248" s="219"/>
      <c r="AH248" s="184"/>
      <c r="AI248" s="184"/>
      <c r="AJ248" s="184"/>
      <c r="AK248" s="184"/>
      <c r="AL248" s="184"/>
      <c r="AM248" s="184"/>
      <c r="AN248" s="184"/>
      <c r="AO248" s="184"/>
      <c r="AP248" s="184"/>
      <c r="AQ248" s="184"/>
      <c r="AR248" s="184"/>
      <c r="AS248" s="184"/>
      <c r="AT248" s="184"/>
      <c r="AY248" s="228"/>
      <c r="AZ248" s="228"/>
      <c r="BA248" s="228"/>
      <c r="BB248" s="228"/>
      <c r="BC248" s="219"/>
      <c r="BD248" s="219"/>
      <c r="BE248" s="219"/>
      <c r="BF248" s="219"/>
      <c r="BG248" s="219"/>
      <c r="BH248" s="219"/>
      <c r="BI248" s="219"/>
      <c r="BJ248" s="219"/>
    </row>
    <row r="249" spans="1:62" ht="12.75" x14ac:dyDescent="0.2">
      <c r="A249" s="184">
        <v>23</v>
      </c>
      <c r="B249" s="184">
        <v>0.9899</v>
      </c>
      <c r="C249" s="184">
        <v>4</v>
      </c>
      <c r="D249" s="184" t="s">
        <v>320</v>
      </c>
      <c r="E249" s="184" t="str">
        <f>IF(AE94&lt;&gt;"",IF(AND(AP75&gt;=51, AP78&lt;=10),C249,""),"")</f>
        <v/>
      </c>
      <c r="F249" s="274">
        <v>0</v>
      </c>
      <c r="G249" s="184"/>
      <c r="H249" s="184"/>
      <c r="I249" s="184"/>
      <c r="J249" s="184"/>
      <c r="K249" s="184"/>
      <c r="L249" s="273">
        <v>5</v>
      </c>
      <c r="M249" s="273" t="s">
        <v>340</v>
      </c>
      <c r="N249" s="273" t="s">
        <v>341</v>
      </c>
      <c r="O249" s="273">
        <f>IF(AP82&gt;=80,L249,"")</f>
        <v>5</v>
      </c>
      <c r="P249" s="184"/>
      <c r="Q249" s="184" t="e">
        <f>50-AP84/2</f>
        <v>#VALUE!</v>
      </c>
      <c r="R249" s="184" t="e">
        <f>100-AP84</f>
        <v>#VALUE!</v>
      </c>
      <c r="S249" s="184"/>
      <c r="T249" s="184" t="str">
        <f>IF(AA219,AA219,"")</f>
        <v/>
      </c>
      <c r="U249" s="184" t="str">
        <f>IF(AA216,AA216,"")</f>
        <v/>
      </c>
      <c r="V249" s="184" t="e">
        <f>IF(AA222,AA222,"")</f>
        <v>#VALUE!</v>
      </c>
      <c r="W249" s="184"/>
      <c r="X249" s="184"/>
      <c r="Y249" s="219"/>
      <c r="Z249" s="219"/>
      <c r="AA249" s="219"/>
      <c r="AB249" s="219"/>
      <c r="AC249" s="219"/>
      <c r="AD249" s="219"/>
      <c r="AE249" s="219"/>
      <c r="AF249" s="219"/>
      <c r="AG249" s="219"/>
      <c r="AH249" s="184"/>
      <c r="AI249" s="184"/>
      <c r="AJ249" s="184"/>
      <c r="AK249" s="184"/>
      <c r="AL249" s="184"/>
      <c r="AM249" s="184"/>
      <c r="AN249" s="184"/>
      <c r="AO249" s="184"/>
      <c r="AP249" s="184"/>
      <c r="AQ249" s="184"/>
      <c r="AR249" s="184"/>
      <c r="AS249" s="184"/>
      <c r="AT249" s="184"/>
      <c r="AY249" s="228"/>
      <c r="AZ249" s="228"/>
      <c r="BA249" s="228"/>
      <c r="BB249" s="228"/>
      <c r="BC249" s="219"/>
      <c r="BD249" s="219"/>
      <c r="BE249" s="219"/>
      <c r="BF249" s="219"/>
      <c r="BG249" s="219"/>
      <c r="BH249" s="219"/>
      <c r="BI249" s="219"/>
      <c r="BJ249" s="219"/>
    </row>
    <row r="250" spans="1:62" ht="12.75" x14ac:dyDescent="0.2">
      <c r="A250" s="184">
        <v>24</v>
      </c>
      <c r="B250" s="184">
        <v>0.99509999999999998</v>
      </c>
      <c r="C250" s="184">
        <v>5</v>
      </c>
      <c r="D250" s="184" t="s">
        <v>321</v>
      </c>
      <c r="E250" s="184" t="str">
        <f>IF(AE94&lt;&gt;"",IF(AND(AP78&lt;=35, X92&lt;=40, AE94&lt;=10),C250,""),"")</f>
        <v/>
      </c>
      <c r="F250" s="274">
        <v>0</v>
      </c>
      <c r="G250" s="184"/>
      <c r="H250" s="184"/>
      <c r="I250" s="184"/>
      <c r="J250" s="184"/>
      <c r="K250" s="184"/>
      <c r="L250" s="273">
        <v>6</v>
      </c>
      <c r="M250" s="273" t="s">
        <v>342</v>
      </c>
      <c r="N250" s="273" t="s">
        <v>343</v>
      </c>
      <c r="O250" s="273" t="str">
        <f>IF(AND(AP86&gt;=20,AP86&lt;30,AP84&gt;50),L250,"")</f>
        <v/>
      </c>
      <c r="P250" s="184"/>
      <c r="Q250" s="184"/>
      <c r="R250" s="184"/>
      <c r="S250" s="184"/>
      <c r="T250" s="184" t="str">
        <f>IF(AE219,AE219,"")</f>
        <v/>
      </c>
      <c r="U250" s="184" t="str">
        <f>IF(AE216,AE216,"")</f>
        <v/>
      </c>
      <c r="V250" s="184" t="e">
        <f>IF(AE222,AE222,"")</f>
        <v>#VALUE!</v>
      </c>
      <c r="W250" s="184"/>
      <c r="X250" s="184"/>
      <c r="Y250" s="219"/>
      <c r="Z250" s="219"/>
      <c r="AA250" s="219"/>
      <c r="AB250" s="219"/>
      <c r="AC250" s="219"/>
      <c r="AD250" s="219"/>
      <c r="AE250" s="219"/>
      <c r="AF250" s="219"/>
      <c r="AG250" s="219"/>
      <c r="AH250" s="184"/>
      <c r="AI250" s="184"/>
      <c r="AJ250" s="184"/>
      <c r="AK250" s="184"/>
      <c r="AL250" s="184"/>
      <c r="AM250" s="184"/>
      <c r="AN250" s="184"/>
      <c r="AO250" s="184"/>
      <c r="AP250" s="184"/>
      <c r="AQ250" s="184"/>
      <c r="AR250" s="184"/>
      <c r="AS250" s="184"/>
      <c r="AT250" s="184"/>
      <c r="AY250" s="228"/>
      <c r="AZ250" s="228"/>
      <c r="BA250" s="228"/>
      <c r="BB250" s="228"/>
      <c r="BC250" s="219"/>
      <c r="BD250" s="219"/>
      <c r="BE250" s="219"/>
      <c r="BF250" s="219"/>
      <c r="BG250" s="219"/>
      <c r="BH250" s="219"/>
      <c r="BI250" s="219"/>
      <c r="BJ250" s="219"/>
    </row>
    <row r="251" spans="1:62" ht="12.75" x14ac:dyDescent="0.2">
      <c r="A251" s="184">
        <v>25</v>
      </c>
      <c r="B251" s="184">
        <v>1</v>
      </c>
      <c r="C251" s="184">
        <v>6</v>
      </c>
      <c r="D251" s="184" t="s">
        <v>322</v>
      </c>
      <c r="E251" s="184" t="str">
        <f>IF(AE94&lt;&gt;"",IF(AND(AP78&lt;=35, X92&gt;=41, AE94&lt;=10),C251,""),"")</f>
        <v/>
      </c>
      <c r="F251" s="274">
        <v>0</v>
      </c>
      <c r="G251" s="184"/>
      <c r="H251" s="184"/>
      <c r="I251" s="184"/>
      <c r="J251" s="184"/>
      <c r="K251" s="184"/>
      <c r="L251" s="273">
        <v>7</v>
      </c>
      <c r="M251" s="273" t="s">
        <v>344</v>
      </c>
      <c r="N251" s="273" t="s">
        <v>345</v>
      </c>
      <c r="O251" s="273" t="str">
        <f>IF(AND(AP86&gt;=20,AP86&lt;30,AP82&lt;50, AP84&lt;=50),L251,"")</f>
        <v/>
      </c>
      <c r="P251" s="184"/>
      <c r="Q251" s="184" t="e">
        <f>AP86/2</f>
        <v>#VALUE!</v>
      </c>
      <c r="R251" s="184" t="str">
        <f>AP86</f>
        <v/>
      </c>
      <c r="S251" s="184"/>
      <c r="T251" s="184" t="str">
        <f>IF(AI219,AI219,"")</f>
        <v/>
      </c>
      <c r="U251" s="184" t="str">
        <f>IF(AI216,AI216,"")</f>
        <v/>
      </c>
      <c r="V251" s="184" t="e">
        <f>IF(AI222,AI222,"")</f>
        <v>#VALUE!</v>
      </c>
      <c r="W251" s="184"/>
      <c r="X251" s="184"/>
      <c r="Y251" s="219"/>
      <c r="Z251" s="219"/>
      <c r="AA251" s="219"/>
      <c r="AB251" s="219"/>
      <c r="AC251" s="219"/>
      <c r="AD251" s="219"/>
      <c r="AE251" s="219"/>
      <c r="AF251" s="219"/>
      <c r="AG251" s="219"/>
      <c r="AH251" s="184"/>
      <c r="AI251" s="184"/>
      <c r="AJ251" s="184"/>
      <c r="AK251" s="184"/>
      <c r="AL251" s="184"/>
      <c r="AM251" s="184"/>
      <c r="AN251" s="184"/>
      <c r="AO251" s="184"/>
      <c r="AP251" s="184"/>
      <c r="AQ251" s="184"/>
      <c r="AR251" s="184"/>
      <c r="AS251" s="184"/>
      <c r="AT251" s="184"/>
      <c r="AY251" s="228"/>
      <c r="AZ251" s="228"/>
      <c r="BA251" s="228"/>
      <c r="BB251" s="228"/>
      <c r="BC251" s="219"/>
      <c r="BD251" s="219"/>
      <c r="BE251" s="219"/>
      <c r="BF251" s="219"/>
      <c r="BG251" s="219"/>
      <c r="BH251" s="219"/>
      <c r="BI251" s="219"/>
      <c r="BJ251" s="219"/>
    </row>
    <row r="252" spans="1:62" ht="12.75" x14ac:dyDescent="0.2">
      <c r="A252" s="184">
        <v>26</v>
      </c>
      <c r="B252" s="184">
        <v>1.0047999999999999</v>
      </c>
      <c r="C252" s="184">
        <v>7</v>
      </c>
      <c r="D252" s="184" t="s">
        <v>323</v>
      </c>
      <c r="E252" s="184" t="str">
        <f>IF(AE94&lt;&gt;"",IF(AND(AP78&lt;=35, X92&lt;=40, AE94&gt;=11),C252,""),"")</f>
        <v/>
      </c>
      <c r="F252" s="184" t="e">
        <f>IF(X94="NP",0,ROUND(0.01*(AP78-15)*(AE94-10),0))</f>
        <v>#VALUE!</v>
      </c>
      <c r="G252" s="184"/>
      <c r="H252" s="184"/>
      <c r="I252" s="184"/>
      <c r="J252" s="184"/>
      <c r="K252" s="184"/>
      <c r="L252" s="273">
        <v>8</v>
      </c>
      <c r="M252" s="273" t="s">
        <v>346</v>
      </c>
      <c r="N252" s="273" t="s">
        <v>347</v>
      </c>
      <c r="O252" s="273" t="str">
        <f>IF(AND(AP86&gt;=20,AP86&lt;30,AP82&gt;=50),L252,"")</f>
        <v/>
      </c>
      <c r="P252" s="184"/>
      <c r="Q252" s="184" t="e">
        <f>100-AP86/2</f>
        <v>#VALUE!</v>
      </c>
      <c r="R252" s="184" t="str">
        <f>AP86</f>
        <v/>
      </c>
      <c r="S252" s="184"/>
      <c r="T252" s="184" t="str">
        <f>IF(AM219,AM219,"")</f>
        <v/>
      </c>
      <c r="U252" s="184" t="str">
        <f>IF(AM216,AM216,"")</f>
        <v/>
      </c>
      <c r="V252" s="184" t="e">
        <f>IF(AM222,AM222,"")</f>
        <v>#VALUE!</v>
      </c>
      <c r="W252" s="184"/>
      <c r="X252" s="184"/>
      <c r="Y252" s="219"/>
      <c r="Z252" s="219"/>
      <c r="AA252" s="219"/>
      <c r="AB252" s="219"/>
      <c r="AC252" s="219"/>
      <c r="AD252" s="219"/>
      <c r="AE252" s="219"/>
      <c r="AF252" s="219"/>
      <c r="AG252" s="219"/>
      <c r="AH252" s="184"/>
      <c r="AI252" s="184"/>
      <c r="AJ252" s="184"/>
      <c r="AK252" s="184"/>
      <c r="AL252" s="184"/>
      <c r="AM252" s="184"/>
      <c r="AN252" s="184"/>
      <c r="AO252" s="184"/>
      <c r="AP252" s="184"/>
      <c r="AQ252" s="184"/>
      <c r="AR252" s="184"/>
      <c r="AS252" s="184"/>
      <c r="AT252" s="184"/>
      <c r="AY252" s="228"/>
      <c r="AZ252" s="228"/>
      <c r="BA252" s="228"/>
      <c r="BB252" s="228"/>
      <c r="BC252" s="219"/>
      <c r="BD252" s="219"/>
      <c r="BE252" s="219"/>
      <c r="BF252" s="219"/>
      <c r="BG252" s="219"/>
      <c r="BH252" s="219"/>
      <c r="BI252" s="219"/>
      <c r="BJ252" s="219"/>
    </row>
    <row r="253" spans="1:62" ht="12.75" x14ac:dyDescent="0.2">
      <c r="A253" s="184">
        <v>27</v>
      </c>
      <c r="B253" s="184">
        <v>1.0093000000000001</v>
      </c>
      <c r="C253" s="184">
        <v>8</v>
      </c>
      <c r="D253" s="184" t="s">
        <v>324</v>
      </c>
      <c r="E253" s="184" t="str">
        <f>IF(AE94&lt;&gt;"",IF(AND(AP78&lt;=35, X92&gt;=41, AE94&gt;=11),C253,""),"")</f>
        <v/>
      </c>
      <c r="F253" s="184" t="e">
        <f>IF(X94="NP",0,ROUND(0.01*(AP78-15)*(AE94-10),0))</f>
        <v>#VALUE!</v>
      </c>
      <c r="G253" s="184"/>
      <c r="H253" s="184"/>
      <c r="I253" s="184"/>
      <c r="J253" s="184"/>
      <c r="K253" s="184"/>
      <c r="L253" s="273">
        <v>9</v>
      </c>
      <c r="M253" s="273" t="s">
        <v>358</v>
      </c>
      <c r="N253" s="273" t="s">
        <v>359</v>
      </c>
      <c r="O253" s="273" t="str">
        <f>IF(AND(AP86&gt;=30,AP86&lt;50,AP84&gt;50),L253,"")</f>
        <v/>
      </c>
      <c r="P253" s="184"/>
      <c r="Q253" s="184"/>
      <c r="R253" s="184"/>
      <c r="S253" s="184"/>
      <c r="T253" s="184"/>
      <c r="U253" s="184"/>
      <c r="V253" s="184"/>
      <c r="W253" s="184"/>
      <c r="X253" s="184"/>
      <c r="Y253" s="219"/>
      <c r="Z253" s="219"/>
      <c r="AA253" s="219"/>
      <c r="AB253" s="219"/>
      <c r="AC253" s="219"/>
      <c r="AD253" s="219"/>
      <c r="AE253" s="219"/>
      <c r="AF253" s="219"/>
      <c r="AG253" s="219"/>
      <c r="AH253" s="184"/>
      <c r="AI253" s="184"/>
      <c r="AJ253" s="184"/>
      <c r="AK253" s="184"/>
      <c r="AL253" s="184"/>
      <c r="AM253" s="184"/>
      <c r="AN253" s="184"/>
      <c r="AO253" s="184"/>
      <c r="AP253" s="184"/>
      <c r="AQ253" s="184"/>
      <c r="AR253" s="184"/>
      <c r="AS253" s="184"/>
      <c r="AT253" s="184"/>
      <c r="AY253" s="228"/>
      <c r="AZ253" s="228"/>
      <c r="BA253" s="228"/>
      <c r="BB253" s="228"/>
      <c r="BC253" s="219"/>
      <c r="BD253" s="219"/>
      <c r="BE253" s="219"/>
      <c r="BF253" s="219"/>
      <c r="BG253" s="219"/>
      <c r="BH253" s="219"/>
      <c r="BI253" s="219"/>
      <c r="BJ253" s="219"/>
    </row>
    <row r="254" spans="1:62" ht="12.75" x14ac:dyDescent="0.2">
      <c r="A254" s="184">
        <v>28</v>
      </c>
      <c r="B254" s="184">
        <v>1.0138</v>
      </c>
      <c r="C254" s="184">
        <v>9</v>
      </c>
      <c r="D254" s="184" t="s">
        <v>325</v>
      </c>
      <c r="E254" s="184" t="str">
        <f>IF(AE94&lt;&gt;"",IF(AND(AP78&gt;=36, X92&lt;=40, AE94&lt;=10),C254,""),"")</f>
        <v/>
      </c>
      <c r="F254" s="184" t="e">
        <f>IF(X94="NP",0,ROUND((AP78-35)*(0.2+0.005*(X92-40))+0.01*(AP78-15)*(AE94-10),0))</f>
        <v>#VALUE!</v>
      </c>
      <c r="G254" s="184"/>
      <c r="H254" s="184"/>
      <c r="I254" s="184"/>
      <c r="J254" s="184"/>
      <c r="K254" s="184"/>
      <c r="L254" s="273">
        <v>10</v>
      </c>
      <c r="M254" s="273" t="s">
        <v>348</v>
      </c>
      <c r="N254" s="273" t="s">
        <v>349</v>
      </c>
      <c r="O254" s="273" t="str">
        <f>IF(AND(AP86&gt;=30,AP86&lt;50,AP82&lt;50, AP84&lt;=50, AP84&gt;AP82),L254,"")</f>
        <v/>
      </c>
      <c r="P254" s="184"/>
      <c r="Q254" s="184" t="e">
        <f>(INTERCEPT(R245:R246,Q245:Q246)-INTERCEPT(R248:R249,Q248:Q249))/(SLOPE(R248:R249,Q248:Q249)-SLOPE(R245:R246,Q245:Q246))</f>
        <v>#VALUE!</v>
      </c>
      <c r="R254" s="184" t="e">
        <f>SLOPE(R245:R246,Q245:Q246)*Q254+INTERCEPT(R245:R246,Q245:Q246)</f>
        <v>#VALUE!</v>
      </c>
      <c r="S254" s="184"/>
      <c r="T254" s="184"/>
      <c r="U254" s="184"/>
      <c r="V254" s="184"/>
      <c r="W254" s="184"/>
      <c r="X254" s="184"/>
      <c r="Y254" s="219"/>
      <c r="Z254" s="219"/>
      <c r="AA254" s="219"/>
      <c r="AB254" s="219"/>
      <c r="AC254" s="219"/>
      <c r="AD254" s="219"/>
      <c r="AE254" s="219"/>
      <c r="AF254" s="219"/>
      <c r="AG254" s="219"/>
      <c r="AH254" s="184"/>
      <c r="AI254" s="184"/>
      <c r="AJ254" s="184"/>
      <c r="AK254" s="184"/>
      <c r="AL254" s="184"/>
      <c r="AM254" s="184"/>
      <c r="AN254" s="184"/>
      <c r="AO254" s="184"/>
      <c r="AP254" s="184"/>
      <c r="AQ254" s="184"/>
      <c r="AR254" s="184"/>
      <c r="AS254" s="184"/>
      <c r="AT254" s="184"/>
      <c r="AY254" s="228"/>
      <c r="AZ254" s="228"/>
      <c r="BA254" s="228"/>
      <c r="BB254" s="228"/>
      <c r="BC254" s="219"/>
      <c r="BD254" s="219"/>
      <c r="BE254" s="219"/>
      <c r="BF254" s="219"/>
      <c r="BG254" s="219"/>
      <c r="BH254" s="219"/>
      <c r="BI254" s="219"/>
      <c r="BJ254" s="219"/>
    </row>
    <row r="255" spans="1:62" ht="12.75" x14ac:dyDescent="0.2">
      <c r="A255" s="184">
        <v>29</v>
      </c>
      <c r="B255" s="184">
        <v>1.018</v>
      </c>
      <c r="C255" s="184">
        <v>10</v>
      </c>
      <c r="D255" s="184" t="s">
        <v>326</v>
      </c>
      <c r="E255" s="184" t="str">
        <f>IF(AE94&lt;&gt;"",IF(AND(AP78&gt;=36, X92&gt;=41, AE94&lt;=10),C255,""),"")</f>
        <v/>
      </c>
      <c r="F255" s="184" t="e">
        <f>IF(X94="NP",0,ROUND((AP78-35)*(0.2+0.005*(X92-40))+0.01*(AP78-15)*(AE94-10),0))</f>
        <v>#VALUE!</v>
      </c>
      <c r="G255" s="184"/>
      <c r="H255" s="184"/>
      <c r="I255" s="184"/>
      <c r="J255" s="184"/>
      <c r="K255" s="184"/>
      <c r="L255" s="273">
        <v>11</v>
      </c>
      <c r="M255" s="273" t="s">
        <v>350</v>
      </c>
      <c r="N255" s="273" t="s">
        <v>351</v>
      </c>
      <c r="O255" s="273" t="str">
        <f>IF(AND(AP86&gt;=30,AP86&lt;50,AP82&lt;50, AP84&lt;=50, AP84&lt;=AP82),L255,"")</f>
        <v/>
      </c>
      <c r="P255" s="184"/>
      <c r="Q255" s="184"/>
      <c r="R255" s="184"/>
      <c r="S255" s="184"/>
      <c r="T255" s="184"/>
      <c r="U255" s="184"/>
      <c r="V255" s="184"/>
      <c r="W255" s="184"/>
      <c r="X255" s="184"/>
      <c r="Y255" s="219"/>
      <c r="Z255" s="219"/>
      <c r="AA255" s="219"/>
      <c r="AB255" s="219"/>
      <c r="AC255" s="219"/>
      <c r="AD255" s="219"/>
      <c r="AE255" s="219"/>
      <c r="AF255" s="219"/>
      <c r="AG255" s="219"/>
      <c r="AH255" s="184"/>
      <c r="AI255" s="184"/>
      <c r="AJ255" s="184"/>
      <c r="AK255" s="184"/>
      <c r="AL255" s="184"/>
      <c r="AM255" s="184"/>
      <c r="AN255" s="184"/>
      <c r="AO255" s="184"/>
      <c r="AP255" s="184"/>
      <c r="AQ255" s="184"/>
      <c r="AR255" s="184"/>
      <c r="AS255" s="184"/>
      <c r="AT255" s="184"/>
      <c r="AY255" s="228"/>
      <c r="AZ255" s="228"/>
      <c r="BA255" s="228"/>
      <c r="BB255" s="228"/>
      <c r="BC255" s="219"/>
      <c r="BD255" s="219"/>
      <c r="BE255" s="219"/>
      <c r="BF255" s="219"/>
      <c r="BG255" s="219"/>
      <c r="BH255" s="219"/>
      <c r="BI255" s="219"/>
      <c r="BJ255" s="219"/>
    </row>
    <row r="256" spans="1:62" ht="12.75" x14ac:dyDescent="0.2">
      <c r="A256" s="184">
        <v>30</v>
      </c>
      <c r="B256" s="184">
        <v>1.0221</v>
      </c>
      <c r="C256" s="184">
        <v>11</v>
      </c>
      <c r="D256" s="184" t="s">
        <v>327</v>
      </c>
      <c r="E256" s="184" t="str">
        <f>IF(AE94&lt;&gt;"",IF(AND(AP78&gt;=36, X92&lt;=40, AE94&gt;=11),C256,""),"")</f>
        <v/>
      </c>
      <c r="F256" s="184" t="e">
        <f>IF(X94="NP",0,ROUND((AP78-35)*(0.2+0.005*(X92-40))+0.01*(AP78-15)*(AE94-10),0))</f>
        <v>#VALUE!</v>
      </c>
      <c r="G256" s="184"/>
      <c r="H256" s="184"/>
      <c r="I256" s="184"/>
      <c r="J256" s="184"/>
      <c r="K256" s="184"/>
      <c r="L256" s="273">
        <v>12</v>
      </c>
      <c r="M256" s="273" t="s">
        <v>360</v>
      </c>
      <c r="N256" s="273" t="s">
        <v>361</v>
      </c>
      <c r="O256" s="273" t="str">
        <f>IF(AND(AP86&gt;=30,AP86&lt;50,AP82&gt;=50),L256,"")</f>
        <v/>
      </c>
      <c r="P256" s="184"/>
      <c r="Q256" s="184"/>
      <c r="R256" s="184"/>
      <c r="S256" s="184"/>
      <c r="T256" s="184"/>
      <c r="U256" s="184"/>
      <c r="V256" s="184"/>
      <c r="W256" s="184"/>
      <c r="X256" s="184"/>
      <c r="Y256" s="219"/>
      <c r="Z256" s="219"/>
      <c r="AA256" s="219"/>
      <c r="AB256" s="219"/>
      <c r="AC256" s="219"/>
      <c r="AD256" s="219"/>
      <c r="AE256" s="219"/>
      <c r="AF256" s="219"/>
      <c r="AG256" s="219"/>
      <c r="AH256" s="184"/>
      <c r="AI256" s="184"/>
      <c r="AJ256" s="184"/>
      <c r="AK256" s="184"/>
      <c r="AL256" s="184"/>
      <c r="AM256" s="184"/>
      <c r="AN256" s="184"/>
      <c r="AO256" s="184"/>
      <c r="AP256" s="184"/>
      <c r="AQ256" s="184"/>
      <c r="AR256" s="184"/>
      <c r="AS256" s="184"/>
      <c r="AT256" s="184"/>
      <c r="AY256" s="228"/>
      <c r="AZ256" s="228"/>
      <c r="BA256" s="228"/>
      <c r="BB256" s="228"/>
      <c r="BC256" s="219"/>
      <c r="BD256" s="219"/>
      <c r="BE256" s="219"/>
      <c r="BF256" s="219"/>
      <c r="BG256" s="219"/>
      <c r="BH256" s="219"/>
      <c r="BI256" s="219"/>
      <c r="BJ256" s="219"/>
    </row>
    <row r="257" spans="1:62" ht="12.75" x14ac:dyDescent="0.2">
      <c r="A257" s="184"/>
      <c r="B257" s="184"/>
      <c r="C257" s="184">
        <v>12</v>
      </c>
      <c r="D257" s="184" t="s">
        <v>329</v>
      </c>
      <c r="E257" s="184" t="str">
        <f>IF(AE94&lt;&gt;"",IF(AND(AP78&gt;=36, X92&gt;=41, AE94&lt;=X92-30),C257,""),"")</f>
        <v/>
      </c>
      <c r="F257" s="184" t="e">
        <f>IF(X94="NP",0,ROUND((AP78-35)*(0.2+0.005*(X92-40))+0.01*(AP78-15)*(AE94-10),0))</f>
        <v>#VALUE!</v>
      </c>
      <c r="G257" s="184"/>
      <c r="H257" s="184"/>
      <c r="I257" s="184"/>
      <c r="J257" s="184"/>
      <c r="K257" s="184"/>
      <c r="L257" s="273">
        <v>13</v>
      </c>
      <c r="M257" s="273" t="s">
        <v>352</v>
      </c>
      <c r="N257" s="273" t="s">
        <v>353</v>
      </c>
      <c r="O257" s="273" t="str">
        <f>IF(AND(AP86&gt;=50,AP86&lt;65, AP84&gt;AP82),L257,"")</f>
        <v/>
      </c>
      <c r="P257" s="184"/>
      <c r="Q257" s="184"/>
      <c r="R257" s="184"/>
      <c r="S257" s="184"/>
      <c r="T257" s="184"/>
      <c r="U257" s="184"/>
      <c r="V257" s="184"/>
      <c r="W257" s="184"/>
      <c r="X257" s="184"/>
      <c r="Y257" s="219"/>
      <c r="Z257" s="219"/>
      <c r="AA257" s="219"/>
      <c r="AB257" s="219"/>
      <c r="AC257" s="219"/>
      <c r="AD257" s="219"/>
      <c r="AE257" s="219"/>
      <c r="AF257" s="219"/>
      <c r="AG257" s="219"/>
      <c r="AH257" s="184"/>
      <c r="AI257" s="184"/>
      <c r="AJ257" s="184"/>
      <c r="AK257" s="184"/>
      <c r="AL257" s="184"/>
      <c r="AM257" s="184"/>
      <c r="AN257" s="184"/>
      <c r="AO257" s="184"/>
      <c r="AP257" s="184"/>
      <c r="AQ257" s="184"/>
      <c r="AR257" s="184"/>
      <c r="AS257" s="184"/>
      <c r="AT257" s="184"/>
      <c r="AY257" s="228"/>
      <c r="AZ257" s="228"/>
      <c r="BA257" s="228"/>
      <c r="BB257" s="228"/>
      <c r="BC257" s="219"/>
      <c r="BD257" s="219"/>
      <c r="BE257" s="219"/>
      <c r="BF257" s="219"/>
      <c r="BG257" s="219"/>
      <c r="BH257" s="219"/>
      <c r="BI257" s="219"/>
      <c r="BJ257" s="219"/>
    </row>
    <row r="258" spans="1:62" ht="12.75" x14ac:dyDescent="0.2">
      <c r="A258" s="184"/>
      <c r="B258" s="184"/>
      <c r="C258" s="184">
        <v>13</v>
      </c>
      <c r="D258" s="184" t="s">
        <v>330</v>
      </c>
      <c r="E258" s="184" t="str">
        <f>IF(AE94&lt;&gt;"",IF(AND(AP78&gt;=36, X92&gt;=41, AE94&gt;X92-30),C258,""),"")</f>
        <v/>
      </c>
      <c r="F258" s="184" t="e">
        <f>IF(X94="NP",0,ROUND((AP78-35)*(0.2+0.005*(X92-40))+0.01*(AP78-15)*(AE94-10),0))</f>
        <v>#VALUE!</v>
      </c>
      <c r="G258" s="184"/>
      <c r="H258" s="184"/>
      <c r="I258" s="184"/>
      <c r="J258" s="184"/>
      <c r="K258" s="184"/>
      <c r="L258" s="273">
        <v>14</v>
      </c>
      <c r="M258" s="273" t="s">
        <v>354</v>
      </c>
      <c r="N258" s="273" t="s">
        <v>355</v>
      </c>
      <c r="O258" s="273" t="str">
        <f>IF(AND(AP86&gt;=50,AP86&lt;65, AP84&lt;=AP82),L258,"")</f>
        <v/>
      </c>
      <c r="P258" s="184"/>
      <c r="Q258" s="184"/>
      <c r="R258" s="184"/>
      <c r="S258" s="184"/>
      <c r="T258" s="184"/>
      <c r="U258" s="184"/>
      <c r="V258" s="184"/>
      <c r="W258" s="184"/>
      <c r="X258" s="184"/>
      <c r="Y258" s="219"/>
      <c r="Z258" s="219"/>
      <c r="AA258" s="219"/>
      <c r="AB258" s="219"/>
      <c r="AC258" s="219"/>
      <c r="AD258" s="219"/>
      <c r="AE258" s="219"/>
      <c r="AF258" s="219"/>
      <c r="AG258" s="219"/>
      <c r="AH258" s="184"/>
      <c r="AI258" s="184"/>
      <c r="AJ258" s="184"/>
      <c r="AK258" s="184"/>
      <c r="AL258" s="184"/>
      <c r="AM258" s="184"/>
      <c r="AN258" s="184"/>
      <c r="AO258" s="184"/>
      <c r="AP258" s="184"/>
      <c r="AQ258" s="184"/>
      <c r="AR258" s="184"/>
      <c r="AS258" s="184"/>
      <c r="AT258" s="184"/>
      <c r="AY258" s="228"/>
      <c r="AZ258" s="228"/>
      <c r="BA258" s="228"/>
      <c r="BB258" s="228"/>
      <c r="BC258" s="219"/>
      <c r="BD258" s="219"/>
      <c r="BE258" s="219"/>
      <c r="BF258" s="219"/>
      <c r="BG258" s="219"/>
      <c r="BH258" s="219"/>
      <c r="BI258" s="219"/>
      <c r="BJ258" s="219"/>
    </row>
    <row r="259" spans="1:62" ht="12.75" x14ac:dyDescent="0.2">
      <c r="A259" s="184"/>
      <c r="B259" s="184"/>
      <c r="C259" s="184"/>
      <c r="D259" s="184"/>
      <c r="E259" s="184"/>
      <c r="F259" s="184"/>
      <c r="G259" s="184"/>
      <c r="H259" s="184"/>
      <c r="I259" s="184"/>
      <c r="J259" s="184"/>
      <c r="K259" s="184"/>
      <c r="L259" s="273">
        <v>15</v>
      </c>
      <c r="M259" s="273" t="s">
        <v>356</v>
      </c>
      <c r="N259" s="273" t="s">
        <v>357</v>
      </c>
      <c r="O259" s="273">
        <f>IF(AP86&gt;=65,L259,"")</f>
        <v>15</v>
      </c>
      <c r="P259" s="184"/>
      <c r="Q259" s="184"/>
      <c r="R259" s="184"/>
      <c r="S259" s="184"/>
      <c r="T259" s="184"/>
      <c r="U259" s="184"/>
      <c r="V259" s="184"/>
      <c r="W259" s="184"/>
      <c r="X259" s="184"/>
      <c r="Y259" s="219"/>
      <c r="Z259" s="219"/>
      <c r="AA259" s="219"/>
      <c r="AB259" s="219"/>
      <c r="AC259" s="219"/>
      <c r="AD259" s="219"/>
      <c r="AE259" s="219"/>
      <c r="AF259" s="219"/>
      <c r="AG259" s="219"/>
      <c r="AH259" s="184"/>
      <c r="AI259" s="184"/>
      <c r="AJ259" s="184"/>
      <c r="AK259" s="184"/>
      <c r="AL259" s="184"/>
      <c r="AM259" s="184"/>
      <c r="AN259" s="184"/>
      <c r="AO259" s="184"/>
      <c r="AP259" s="184"/>
      <c r="AQ259" s="184"/>
      <c r="AR259" s="184"/>
      <c r="AS259" s="184"/>
      <c r="AT259" s="184"/>
      <c r="AY259" s="228"/>
      <c r="AZ259" s="228"/>
      <c r="BA259" s="228"/>
      <c r="BB259" s="228"/>
      <c r="BC259" s="219"/>
      <c r="BD259" s="219"/>
      <c r="BE259" s="219"/>
      <c r="BF259" s="219"/>
      <c r="BG259" s="219"/>
      <c r="BH259" s="219"/>
      <c r="BI259" s="219"/>
      <c r="BJ259" s="219"/>
    </row>
    <row r="260" spans="1:62" ht="6.6" customHeight="1" x14ac:dyDescent="0.2">
      <c r="A260" s="184"/>
      <c r="B260" s="184"/>
      <c r="C260" s="184"/>
      <c r="D260" s="184"/>
      <c r="E260" s="184"/>
      <c r="F260" s="184"/>
      <c r="G260" s="184"/>
      <c r="H260" s="184"/>
      <c r="I260" s="184"/>
      <c r="J260" s="184"/>
      <c r="K260" s="184"/>
      <c r="L260" s="184"/>
      <c r="M260" s="184"/>
      <c r="N260" s="184"/>
      <c r="O260" s="184"/>
      <c r="P260" s="184"/>
      <c r="Q260" s="184"/>
      <c r="R260" s="184"/>
      <c r="S260" s="184"/>
      <c r="T260" s="184"/>
      <c r="U260" s="184"/>
      <c r="V260" s="184"/>
      <c r="W260" s="184"/>
      <c r="X260" s="184"/>
      <c r="Y260" s="219"/>
      <c r="Z260" s="219"/>
      <c r="AA260" s="219"/>
      <c r="AB260" s="219"/>
      <c r="AC260" s="219"/>
      <c r="AD260" s="219"/>
      <c r="AE260" s="219"/>
      <c r="AF260" s="219"/>
      <c r="AG260" s="219"/>
      <c r="AH260" s="219"/>
      <c r="AI260" s="219"/>
      <c r="AJ260" s="219"/>
      <c r="AK260" s="219"/>
      <c r="AL260" s="219"/>
      <c r="AM260" s="219"/>
      <c r="AN260" s="219"/>
      <c r="AO260" s="219"/>
      <c r="AP260" s="219"/>
      <c r="AQ260" s="219"/>
      <c r="AR260" s="219"/>
      <c r="AS260" s="219"/>
      <c r="AT260" s="219"/>
    </row>
    <row r="261" spans="1:62" ht="6.6" customHeight="1" x14ac:dyDescent="0.2">
      <c r="A261" s="184"/>
      <c r="B261" s="184"/>
      <c r="C261" s="184"/>
      <c r="D261" s="184"/>
      <c r="E261" s="184"/>
      <c r="F261" s="184"/>
      <c r="G261" s="184"/>
      <c r="H261" s="184"/>
      <c r="I261" s="184"/>
      <c r="J261" s="184"/>
      <c r="K261" s="184"/>
      <c r="L261" s="184"/>
      <c r="M261" s="184"/>
      <c r="N261" s="184"/>
      <c r="O261" s="184"/>
      <c r="P261" s="184"/>
      <c r="Q261" s="184"/>
      <c r="R261" s="184"/>
      <c r="S261" s="184"/>
      <c r="T261" s="184"/>
      <c r="U261" s="184"/>
      <c r="V261" s="184"/>
      <c r="W261" s="184"/>
      <c r="X261" s="184"/>
      <c r="Y261" s="219"/>
      <c r="Z261" s="219"/>
      <c r="AA261" s="219"/>
      <c r="AB261" s="219"/>
      <c r="AC261" s="219"/>
      <c r="AD261" s="219"/>
      <c r="AE261" s="219"/>
      <c r="AF261" s="219"/>
      <c r="AG261" s="219"/>
      <c r="AH261" s="219"/>
      <c r="AI261" s="219"/>
      <c r="AJ261" s="219"/>
      <c r="AK261" s="219"/>
      <c r="AL261" s="219"/>
      <c r="AM261" s="219"/>
      <c r="AN261" s="219"/>
      <c r="AO261" s="219"/>
      <c r="AP261" s="219"/>
      <c r="AQ261" s="219"/>
      <c r="AR261" s="219"/>
      <c r="AS261" s="219"/>
      <c r="AT261" s="219"/>
    </row>
    <row r="262" spans="1:62" ht="6.6" customHeight="1" x14ac:dyDescent="0.2">
      <c r="A262" s="219"/>
      <c r="B262" s="219"/>
      <c r="C262" s="219"/>
      <c r="D262" s="219"/>
      <c r="E262" s="219"/>
      <c r="F262" s="219"/>
      <c r="G262" s="219"/>
      <c r="H262" s="219"/>
      <c r="I262" s="219"/>
      <c r="J262" s="219"/>
      <c r="K262" s="219"/>
      <c r="L262" s="219"/>
      <c r="M262" s="219"/>
      <c r="N262" s="219"/>
      <c r="O262" s="219"/>
      <c r="P262" s="219"/>
      <c r="Q262" s="219"/>
      <c r="R262" s="219"/>
      <c r="S262" s="219"/>
      <c r="T262" s="219"/>
      <c r="U262" s="219"/>
      <c r="V262" s="219"/>
      <c r="W262" s="219"/>
      <c r="X262" s="219"/>
      <c r="Y262" s="219"/>
      <c r="Z262" s="219"/>
      <c r="AA262" s="219"/>
      <c r="AB262" s="219"/>
      <c r="AC262" s="219"/>
      <c r="AD262" s="219"/>
      <c r="AE262" s="219"/>
      <c r="AF262" s="219"/>
      <c r="AG262" s="219"/>
      <c r="AH262" s="219"/>
      <c r="AI262" s="219"/>
      <c r="AJ262" s="219"/>
      <c r="AK262" s="219"/>
      <c r="AL262" s="219"/>
      <c r="AM262" s="219"/>
      <c r="AN262" s="219"/>
      <c r="AO262" s="219"/>
      <c r="AP262" s="219"/>
      <c r="AQ262" s="219"/>
      <c r="AR262" s="219"/>
      <c r="AS262" s="219"/>
      <c r="AT262" s="219"/>
    </row>
    <row r="263" spans="1:62" ht="6.6" customHeight="1" x14ac:dyDescent="0.2">
      <c r="A263" s="219"/>
      <c r="B263" s="219"/>
      <c r="C263" s="219"/>
      <c r="D263" s="219"/>
      <c r="E263" s="219"/>
      <c r="F263" s="219"/>
      <c r="G263" s="219"/>
      <c r="H263" s="219"/>
      <c r="I263" s="219"/>
      <c r="J263" s="219"/>
      <c r="K263" s="219"/>
      <c r="L263" s="219"/>
      <c r="M263" s="219"/>
      <c r="N263" s="219"/>
      <c r="O263" s="219"/>
      <c r="P263" s="219"/>
      <c r="Q263" s="219"/>
      <c r="R263" s="219"/>
      <c r="S263" s="219"/>
      <c r="T263" s="219"/>
      <c r="U263" s="219"/>
      <c r="V263" s="219"/>
      <c r="W263" s="219"/>
      <c r="X263" s="219"/>
      <c r="Y263" s="219"/>
      <c r="Z263" s="219"/>
      <c r="AA263" s="219"/>
      <c r="AB263" s="219"/>
      <c r="AC263" s="219"/>
      <c r="AD263" s="219"/>
      <c r="AE263" s="219"/>
      <c r="AF263" s="219"/>
      <c r="AG263" s="219"/>
      <c r="AH263" s="219"/>
      <c r="AI263" s="219"/>
      <c r="AJ263" s="219"/>
      <c r="AK263" s="219"/>
      <c r="AL263" s="219"/>
      <c r="AM263" s="219"/>
      <c r="AN263" s="219"/>
      <c r="AO263" s="219"/>
      <c r="AP263" s="219"/>
      <c r="AQ263" s="219"/>
      <c r="AR263" s="219"/>
      <c r="AS263" s="219"/>
      <c r="AT263" s="219"/>
    </row>
    <row r="264" spans="1:62" ht="6.6" customHeight="1" x14ac:dyDescent="0.2">
      <c r="A264" s="219"/>
      <c r="B264" s="219"/>
      <c r="C264" s="219"/>
      <c r="D264" s="219"/>
      <c r="E264" s="219"/>
      <c r="F264" s="219"/>
      <c r="G264" s="219"/>
      <c r="H264" s="219"/>
      <c r="I264" s="219"/>
      <c r="J264" s="219"/>
      <c r="K264" s="219"/>
      <c r="L264" s="219"/>
      <c r="M264" s="219"/>
      <c r="N264" s="219"/>
      <c r="O264" s="219"/>
      <c r="P264" s="219"/>
      <c r="Q264" s="219"/>
      <c r="R264" s="219"/>
      <c r="S264" s="219"/>
      <c r="T264" s="219"/>
      <c r="U264" s="219"/>
      <c r="V264" s="219"/>
      <c r="W264" s="219"/>
      <c r="X264" s="219"/>
      <c r="Y264" s="219"/>
      <c r="Z264" s="219"/>
      <c r="AA264" s="219"/>
      <c r="AB264" s="219"/>
      <c r="AC264" s="219"/>
      <c r="AD264" s="219"/>
      <c r="AE264" s="219"/>
      <c r="AF264" s="219"/>
      <c r="AG264" s="219"/>
      <c r="AH264" s="219"/>
      <c r="AI264" s="219"/>
      <c r="AJ264" s="219"/>
      <c r="AK264" s="219"/>
      <c r="AL264" s="219"/>
      <c r="AM264" s="219"/>
      <c r="AN264" s="219"/>
      <c r="AO264" s="219"/>
      <c r="AP264" s="219"/>
      <c r="AQ264" s="219"/>
      <c r="AR264" s="219"/>
      <c r="AS264" s="219"/>
      <c r="AT264" s="219"/>
    </row>
    <row r="265" spans="1:62" ht="6.6" customHeight="1" x14ac:dyDescent="0.2">
      <c r="A265" s="219"/>
      <c r="B265" s="219"/>
      <c r="C265" s="219"/>
      <c r="D265" s="219"/>
      <c r="E265" s="219"/>
      <c r="F265" s="219"/>
      <c r="G265" s="219"/>
      <c r="H265" s="219"/>
      <c r="I265" s="219"/>
      <c r="J265" s="219"/>
      <c r="K265" s="219"/>
      <c r="L265" s="219"/>
      <c r="M265" s="219"/>
      <c r="N265" s="219"/>
      <c r="O265" s="219"/>
      <c r="P265" s="219"/>
      <c r="Q265" s="219"/>
      <c r="R265" s="219"/>
      <c r="S265" s="219"/>
      <c r="T265" s="219"/>
      <c r="U265" s="219"/>
      <c r="V265" s="219"/>
      <c r="W265" s="219"/>
      <c r="X265" s="219"/>
      <c r="Y265" s="219"/>
      <c r="Z265" s="219"/>
      <c r="AA265" s="219"/>
      <c r="AB265" s="219"/>
      <c r="AC265" s="219"/>
      <c r="AD265" s="219"/>
      <c r="AE265" s="219"/>
      <c r="AF265" s="219"/>
      <c r="AG265" s="219"/>
      <c r="AH265" s="219"/>
      <c r="AI265" s="219"/>
      <c r="AJ265" s="219"/>
      <c r="AK265" s="219"/>
      <c r="AL265" s="219"/>
      <c r="AM265" s="219"/>
      <c r="AN265" s="219"/>
      <c r="AO265" s="219"/>
      <c r="AP265" s="219"/>
      <c r="AQ265" s="219"/>
      <c r="AR265" s="219"/>
      <c r="AS265" s="219"/>
    </row>
    <row r="266" spans="1:62" ht="6.6" customHeight="1" x14ac:dyDescent="0.2">
      <c r="A266" s="219"/>
      <c r="B266" s="219"/>
      <c r="C266" s="219"/>
      <c r="D266" s="219"/>
      <c r="E266" s="219"/>
      <c r="F266" s="219"/>
      <c r="G266" s="219"/>
      <c r="H266" s="219"/>
      <c r="I266" s="219"/>
      <c r="J266" s="219"/>
      <c r="K266" s="219"/>
      <c r="L266" s="219"/>
      <c r="M266" s="219"/>
      <c r="N266" s="219"/>
      <c r="O266" s="219"/>
      <c r="P266" s="219"/>
      <c r="Q266" s="219"/>
      <c r="R266" s="219"/>
      <c r="S266" s="219"/>
      <c r="T266" s="219"/>
      <c r="U266" s="219"/>
      <c r="V266" s="219"/>
      <c r="W266" s="219"/>
      <c r="X266" s="219"/>
      <c r="Y266" s="219"/>
      <c r="Z266" s="219"/>
      <c r="AA266" s="219"/>
      <c r="AB266" s="219"/>
      <c r="AC266" s="219"/>
      <c r="AD266" s="219"/>
      <c r="AE266" s="219"/>
      <c r="AF266" s="219"/>
      <c r="AG266" s="219"/>
      <c r="AH266" s="219"/>
      <c r="AI266" s="219"/>
      <c r="AJ266" s="219"/>
      <c r="AK266" s="219"/>
      <c r="AL266" s="219"/>
      <c r="AM266" s="219"/>
      <c r="AN266" s="219"/>
      <c r="AO266" s="219"/>
      <c r="AP266" s="219"/>
      <c r="AQ266" s="219"/>
      <c r="AR266" s="219"/>
      <c r="AS266" s="219"/>
    </row>
    <row r="267" spans="1:62" ht="6.6" customHeight="1" x14ac:dyDescent="0.2">
      <c r="A267" s="219"/>
      <c r="B267" s="219"/>
      <c r="C267" s="219"/>
      <c r="D267" s="219"/>
      <c r="E267" s="219"/>
      <c r="F267" s="219"/>
      <c r="G267" s="219"/>
      <c r="H267" s="219"/>
      <c r="I267" s="219"/>
      <c r="J267" s="219"/>
      <c r="K267" s="219"/>
      <c r="L267" s="219"/>
      <c r="M267" s="219"/>
      <c r="N267" s="219"/>
      <c r="O267" s="219"/>
      <c r="P267" s="219"/>
      <c r="Q267" s="219"/>
      <c r="R267" s="219"/>
      <c r="S267" s="219"/>
      <c r="T267" s="219"/>
      <c r="U267" s="219"/>
      <c r="V267" s="219"/>
      <c r="W267" s="219"/>
      <c r="X267" s="219"/>
      <c r="Y267" s="219"/>
      <c r="Z267" s="219"/>
      <c r="AA267" s="219"/>
      <c r="AB267" s="219"/>
      <c r="AC267" s="219"/>
      <c r="AD267" s="219"/>
      <c r="AE267" s="219"/>
      <c r="AF267" s="219"/>
      <c r="AG267" s="219"/>
      <c r="AH267" s="219"/>
      <c r="AI267" s="219"/>
      <c r="AJ267" s="219"/>
      <c r="AK267" s="219"/>
      <c r="AL267" s="219"/>
      <c r="AM267" s="219"/>
      <c r="AN267" s="219"/>
      <c r="AO267" s="219"/>
      <c r="AP267" s="219"/>
      <c r="AQ267" s="219"/>
      <c r="AR267" s="219"/>
      <c r="AS267" s="219"/>
    </row>
    <row r="268" spans="1:62" ht="6.6" customHeight="1" x14ac:dyDescent="0.2">
      <c r="A268" s="219"/>
      <c r="B268" s="219"/>
      <c r="C268" s="219"/>
      <c r="D268" s="219"/>
      <c r="E268" s="219"/>
      <c r="F268" s="219"/>
      <c r="G268" s="219"/>
      <c r="H268" s="219"/>
      <c r="I268" s="219"/>
      <c r="J268" s="219"/>
      <c r="K268" s="219"/>
      <c r="L268" s="219"/>
      <c r="M268" s="219"/>
      <c r="N268" s="219"/>
      <c r="O268" s="219"/>
      <c r="P268" s="219"/>
      <c r="Q268" s="219"/>
      <c r="R268" s="219"/>
      <c r="S268" s="219"/>
      <c r="T268" s="219"/>
      <c r="U268" s="219"/>
      <c r="V268" s="219"/>
      <c r="W268" s="219"/>
      <c r="X268" s="219"/>
      <c r="Y268" s="219"/>
      <c r="Z268" s="219"/>
      <c r="AA268" s="219"/>
      <c r="AB268" s="219"/>
      <c r="AC268" s="219"/>
      <c r="AD268" s="219"/>
      <c r="AE268" s="219"/>
      <c r="AF268" s="219"/>
      <c r="AG268" s="219"/>
      <c r="AH268" s="219"/>
      <c r="AI268" s="219"/>
      <c r="AJ268" s="219"/>
      <c r="AK268" s="219"/>
      <c r="AL268" s="219"/>
      <c r="AM268" s="219"/>
      <c r="AN268" s="219"/>
      <c r="AO268" s="219"/>
      <c r="AP268" s="219"/>
      <c r="AQ268" s="219"/>
      <c r="AR268" s="219"/>
      <c r="AS268" s="219"/>
    </row>
    <row r="269" spans="1:62" ht="6.6" customHeight="1" x14ac:dyDescent="0.2">
      <c r="A269" s="219"/>
      <c r="B269" s="219"/>
      <c r="C269" s="219"/>
      <c r="D269" s="219"/>
      <c r="E269" s="219"/>
      <c r="F269" s="219"/>
      <c r="G269" s="219"/>
      <c r="H269" s="219"/>
      <c r="I269" s="219"/>
      <c r="J269" s="219"/>
      <c r="K269" s="219"/>
      <c r="L269" s="219"/>
      <c r="M269" s="219"/>
      <c r="N269" s="219"/>
      <c r="O269" s="219"/>
      <c r="P269" s="219"/>
      <c r="Q269" s="219"/>
      <c r="R269" s="219"/>
      <c r="S269" s="219"/>
      <c r="T269" s="219"/>
      <c r="U269" s="219"/>
      <c r="V269" s="219"/>
      <c r="W269" s="219"/>
      <c r="X269" s="219"/>
      <c r="Y269" s="219"/>
      <c r="Z269" s="219"/>
      <c r="AA269" s="219"/>
      <c r="AB269" s="219"/>
      <c r="AC269" s="219"/>
      <c r="AD269" s="219"/>
      <c r="AE269" s="219"/>
      <c r="AF269" s="219"/>
      <c r="AG269" s="219"/>
      <c r="AH269" s="219"/>
      <c r="AI269" s="219"/>
      <c r="AJ269" s="219"/>
      <c r="AK269" s="219"/>
      <c r="AL269" s="219"/>
      <c r="AM269" s="219"/>
      <c r="AN269" s="219"/>
      <c r="AO269" s="219"/>
      <c r="AP269" s="219"/>
      <c r="AQ269" s="219"/>
      <c r="AR269" s="219"/>
      <c r="AS269" s="219"/>
    </row>
    <row r="270" spans="1:62" ht="6.6" customHeight="1" x14ac:dyDescent="0.2">
      <c r="A270" s="219"/>
      <c r="B270" s="219"/>
      <c r="C270" s="219"/>
      <c r="D270" s="219"/>
      <c r="E270" s="219"/>
      <c r="F270" s="219"/>
      <c r="G270" s="219"/>
      <c r="H270" s="219"/>
      <c r="I270" s="219"/>
      <c r="J270" s="219"/>
      <c r="K270" s="219"/>
      <c r="L270" s="219"/>
      <c r="M270" s="219"/>
      <c r="N270" s="219"/>
      <c r="O270" s="219"/>
      <c r="P270" s="219"/>
      <c r="Q270" s="219"/>
      <c r="R270" s="219"/>
      <c r="S270" s="219"/>
      <c r="T270" s="219"/>
      <c r="U270" s="219"/>
      <c r="V270" s="219"/>
      <c r="W270" s="219"/>
      <c r="X270" s="219"/>
      <c r="Y270" s="219"/>
      <c r="Z270" s="219"/>
      <c r="AA270" s="219"/>
      <c r="AB270" s="219"/>
      <c r="AC270" s="219"/>
      <c r="AD270" s="219"/>
      <c r="AE270" s="219"/>
      <c r="AF270" s="219"/>
      <c r="AG270" s="219"/>
      <c r="AH270" s="219"/>
      <c r="AI270" s="219"/>
      <c r="AJ270" s="219"/>
      <c r="AK270" s="219"/>
      <c r="AL270" s="219"/>
      <c r="AM270" s="219"/>
      <c r="AN270" s="219"/>
      <c r="AO270" s="219"/>
      <c r="AP270" s="219"/>
      <c r="AQ270" s="219"/>
      <c r="AR270" s="219"/>
      <c r="AS270" s="219"/>
    </row>
    <row r="271" spans="1:62" ht="6.6" customHeight="1" x14ac:dyDescent="0.2">
      <c r="A271" s="219"/>
      <c r="B271" s="219"/>
      <c r="C271" s="219"/>
      <c r="D271" s="219"/>
      <c r="E271" s="219"/>
      <c r="F271" s="219"/>
      <c r="G271" s="219"/>
      <c r="H271" s="219"/>
      <c r="I271" s="219"/>
      <c r="J271" s="219"/>
      <c r="K271" s="219"/>
      <c r="L271" s="219"/>
      <c r="M271" s="219"/>
      <c r="N271" s="219"/>
      <c r="O271" s="219"/>
      <c r="P271" s="219"/>
      <c r="Q271" s="219"/>
      <c r="R271" s="219"/>
      <c r="S271" s="219"/>
      <c r="T271" s="219"/>
      <c r="U271" s="219"/>
      <c r="V271" s="219"/>
      <c r="W271" s="219"/>
      <c r="X271" s="219"/>
      <c r="Y271" s="219"/>
      <c r="Z271" s="219"/>
      <c r="AA271" s="219"/>
      <c r="AB271" s="219"/>
      <c r="AC271" s="219"/>
      <c r="AD271" s="219"/>
      <c r="AE271" s="219"/>
      <c r="AF271" s="219"/>
      <c r="AG271" s="219"/>
      <c r="AH271" s="219"/>
      <c r="AI271" s="219"/>
      <c r="AJ271" s="219"/>
      <c r="AK271" s="219"/>
      <c r="AL271" s="219"/>
      <c r="AM271" s="219"/>
      <c r="AN271" s="219"/>
      <c r="AO271" s="219"/>
      <c r="AP271" s="219"/>
      <c r="AQ271" s="219"/>
      <c r="AR271" s="219"/>
      <c r="AS271" s="219"/>
    </row>
    <row r="272" spans="1:62" ht="6.6" customHeight="1" x14ac:dyDescent="0.2">
      <c r="A272" s="219"/>
      <c r="B272" s="219"/>
      <c r="C272" s="219"/>
      <c r="D272" s="219"/>
      <c r="E272" s="219"/>
      <c r="F272" s="219"/>
      <c r="G272" s="219"/>
      <c r="H272" s="219"/>
      <c r="I272" s="219"/>
      <c r="J272" s="219"/>
      <c r="K272" s="219"/>
      <c r="L272" s="219"/>
      <c r="M272" s="219"/>
      <c r="N272" s="219"/>
      <c r="O272" s="219"/>
      <c r="P272" s="219"/>
      <c r="Q272" s="219"/>
      <c r="R272" s="219"/>
      <c r="S272" s="219"/>
      <c r="T272" s="219"/>
      <c r="U272" s="219"/>
      <c r="V272" s="219"/>
      <c r="W272" s="219"/>
      <c r="X272" s="219"/>
      <c r="Y272" s="219"/>
      <c r="Z272" s="219"/>
      <c r="AA272" s="219"/>
      <c r="AB272" s="219"/>
      <c r="AC272" s="219"/>
      <c r="AD272" s="219"/>
      <c r="AE272" s="219"/>
      <c r="AF272" s="219"/>
      <c r="AG272" s="219"/>
      <c r="AH272" s="219"/>
      <c r="AI272" s="219"/>
      <c r="AJ272" s="219"/>
      <c r="AK272" s="219"/>
      <c r="AL272" s="219"/>
      <c r="AM272" s="219"/>
      <c r="AN272" s="219"/>
      <c r="AO272" s="219"/>
      <c r="AP272" s="219"/>
      <c r="AQ272" s="219"/>
      <c r="AR272" s="219"/>
      <c r="AS272" s="219"/>
    </row>
    <row r="273" spans="1:45" ht="6.6" customHeight="1" x14ac:dyDescent="0.2">
      <c r="A273" s="219"/>
      <c r="B273" s="219"/>
      <c r="C273" s="219"/>
      <c r="D273" s="219"/>
      <c r="E273" s="219"/>
      <c r="F273" s="219"/>
      <c r="G273" s="219"/>
      <c r="H273" s="219"/>
      <c r="I273" s="219"/>
      <c r="J273" s="219"/>
      <c r="K273" s="219"/>
      <c r="L273" s="219"/>
      <c r="M273" s="219"/>
      <c r="N273" s="219"/>
      <c r="O273" s="219"/>
      <c r="P273" s="219"/>
      <c r="Q273" s="219"/>
      <c r="R273" s="219"/>
      <c r="S273" s="219"/>
      <c r="T273" s="219"/>
      <c r="U273" s="219"/>
      <c r="V273" s="219"/>
      <c r="W273" s="219"/>
      <c r="X273" s="219"/>
      <c r="Y273" s="219"/>
      <c r="Z273" s="219"/>
      <c r="AA273" s="219"/>
      <c r="AB273" s="219"/>
      <c r="AC273" s="219"/>
      <c r="AD273" s="219"/>
      <c r="AE273" s="219"/>
      <c r="AF273" s="219"/>
      <c r="AG273" s="219"/>
      <c r="AH273" s="219"/>
      <c r="AI273" s="219"/>
      <c r="AJ273" s="219"/>
      <c r="AK273" s="219"/>
      <c r="AL273" s="219"/>
      <c r="AM273" s="219"/>
      <c r="AN273" s="219"/>
      <c r="AO273" s="219"/>
      <c r="AP273" s="219"/>
      <c r="AQ273" s="219"/>
      <c r="AR273" s="219"/>
      <c r="AS273" s="219"/>
    </row>
    <row r="274" spans="1:45" ht="6.6" customHeight="1" x14ac:dyDescent="0.2"/>
    <row r="275" spans="1:45" ht="6.6" customHeight="1" x14ac:dyDescent="0.2"/>
    <row r="276" spans="1:45" ht="6.6" customHeight="1" x14ac:dyDescent="0.2"/>
    <row r="277" spans="1:45" ht="6.6" customHeight="1" x14ac:dyDescent="0.2"/>
    <row r="278" spans="1:45" ht="6.6" customHeight="1" x14ac:dyDescent="0.2"/>
    <row r="279" spans="1:45" ht="6.6" customHeight="1" x14ac:dyDescent="0.2"/>
    <row r="280" spans="1:45" ht="6.6" customHeight="1" x14ac:dyDescent="0.2"/>
    <row r="281" spans="1:45" ht="6.6" customHeight="1" x14ac:dyDescent="0.2"/>
    <row r="282" spans="1:45" ht="6.6" customHeight="1" x14ac:dyDescent="0.2"/>
    <row r="283" spans="1:45" ht="6.6" customHeight="1" x14ac:dyDescent="0.2"/>
    <row r="284" spans="1:45" ht="6.6" customHeight="1" x14ac:dyDescent="0.2"/>
    <row r="285" spans="1:45" ht="6.6" customHeight="1" x14ac:dyDescent="0.2"/>
    <row r="286" spans="1:45" ht="6.6" customHeight="1" x14ac:dyDescent="0.2"/>
    <row r="287" spans="1:45" ht="6.6" customHeight="1" x14ac:dyDescent="0.2"/>
    <row r="288" spans="1:45" ht="6.6" customHeight="1" x14ac:dyDescent="0.2"/>
    <row r="289" ht="6.6" customHeight="1" x14ac:dyDescent="0.2"/>
    <row r="290" ht="6.6" customHeight="1" x14ac:dyDescent="0.2"/>
    <row r="291" ht="6.6" customHeight="1" x14ac:dyDescent="0.2"/>
    <row r="292" ht="6.6" customHeight="1" x14ac:dyDescent="0.2"/>
    <row r="293" ht="6.6" customHeight="1" x14ac:dyDescent="0.2"/>
    <row r="294" ht="6.6" customHeight="1" x14ac:dyDescent="0.2"/>
    <row r="295" ht="6.6" customHeight="1" x14ac:dyDescent="0.2"/>
    <row r="296" ht="6.6" customHeight="1" x14ac:dyDescent="0.2"/>
    <row r="297" ht="6.6" customHeight="1" x14ac:dyDescent="0.2"/>
    <row r="298" ht="6.6" customHeight="1" x14ac:dyDescent="0.2"/>
    <row r="299" ht="6.6" customHeight="1" x14ac:dyDescent="0.2"/>
    <row r="300" ht="6.6" customHeight="1" x14ac:dyDescent="0.2"/>
    <row r="301" ht="6.6" customHeight="1" x14ac:dyDescent="0.2"/>
    <row r="302" ht="6.6" customHeight="1" x14ac:dyDescent="0.2"/>
    <row r="303" ht="6.6" customHeight="1" x14ac:dyDescent="0.2"/>
    <row r="304" ht="6.6" customHeight="1" x14ac:dyDescent="0.2"/>
    <row r="305" ht="6.6" customHeight="1" x14ac:dyDescent="0.2"/>
    <row r="306" ht="6.6" customHeight="1" x14ac:dyDescent="0.2"/>
    <row r="307" ht="6.6" customHeight="1" x14ac:dyDescent="0.2"/>
    <row r="308" ht="6.6" customHeight="1" x14ac:dyDescent="0.2"/>
    <row r="309" ht="6.6" customHeight="1" x14ac:dyDescent="0.2"/>
    <row r="310" ht="6.6" customHeight="1" x14ac:dyDescent="0.2"/>
    <row r="311" ht="6.6" customHeight="1" x14ac:dyDescent="0.2"/>
    <row r="312" ht="6.6" customHeight="1" x14ac:dyDescent="0.2"/>
    <row r="313" ht="6.6" customHeight="1" x14ac:dyDescent="0.2"/>
    <row r="314" ht="6.6" customHeight="1" x14ac:dyDescent="0.2"/>
    <row r="315" ht="6.6" customHeight="1" x14ac:dyDescent="0.2"/>
    <row r="316" ht="6.6" customHeight="1" x14ac:dyDescent="0.2"/>
    <row r="317" ht="6.6" customHeight="1" x14ac:dyDescent="0.2"/>
    <row r="318" ht="6.6" customHeight="1" x14ac:dyDescent="0.2"/>
    <row r="319" ht="6.6" customHeight="1" x14ac:dyDescent="0.2"/>
    <row r="320" ht="6.6" customHeight="1" x14ac:dyDescent="0.2"/>
    <row r="321" ht="6.6" customHeight="1" x14ac:dyDescent="0.2"/>
    <row r="322" ht="6.6" customHeight="1" x14ac:dyDescent="0.2"/>
    <row r="323" ht="6.6" customHeight="1" x14ac:dyDescent="0.2"/>
    <row r="324" ht="6.6" customHeight="1" x14ac:dyDescent="0.2"/>
    <row r="325" ht="6.6" customHeight="1" x14ac:dyDescent="0.2"/>
    <row r="326" ht="6.6" customHeight="1" x14ac:dyDescent="0.2"/>
    <row r="327" ht="6.6" customHeight="1" x14ac:dyDescent="0.2"/>
    <row r="328" ht="6.6" customHeight="1" x14ac:dyDescent="0.2"/>
    <row r="329" ht="6.6" customHeight="1" x14ac:dyDescent="0.2"/>
    <row r="330" ht="6.6" customHeight="1" x14ac:dyDescent="0.2"/>
    <row r="331" ht="6.6" customHeight="1" x14ac:dyDescent="0.2"/>
    <row r="332" ht="6.6" customHeight="1" x14ac:dyDescent="0.2"/>
    <row r="333" ht="6.6" customHeight="1" x14ac:dyDescent="0.2"/>
    <row r="334" ht="6.6" customHeight="1" x14ac:dyDescent="0.2"/>
    <row r="335" ht="6.6" customHeight="1" x14ac:dyDescent="0.2"/>
    <row r="336" ht="6.6" customHeight="1" x14ac:dyDescent="0.2"/>
    <row r="337" ht="6.6" customHeight="1" x14ac:dyDescent="0.2"/>
    <row r="338" ht="6.6" customHeight="1" x14ac:dyDescent="0.2"/>
    <row r="339" ht="6.6" customHeight="1" x14ac:dyDescent="0.2"/>
    <row r="340" ht="6.6" customHeight="1" x14ac:dyDescent="0.2"/>
    <row r="341" ht="6.6" customHeight="1" x14ac:dyDescent="0.2"/>
    <row r="342" ht="6.6" customHeight="1" x14ac:dyDescent="0.2"/>
    <row r="343" ht="6.6" customHeight="1" x14ac:dyDescent="0.2"/>
    <row r="344" ht="6.6" customHeight="1" x14ac:dyDescent="0.2"/>
    <row r="345" ht="6.6" customHeight="1" x14ac:dyDescent="0.2"/>
    <row r="346" ht="6.6" customHeight="1" x14ac:dyDescent="0.2"/>
    <row r="347" ht="6.6" customHeight="1" x14ac:dyDescent="0.2"/>
    <row r="348" ht="6.6" customHeight="1" x14ac:dyDescent="0.2"/>
    <row r="349" ht="6.6" customHeight="1" x14ac:dyDescent="0.2"/>
    <row r="350" ht="6.6" customHeight="1" x14ac:dyDescent="0.2"/>
    <row r="351" ht="6.6" customHeight="1" x14ac:dyDescent="0.2"/>
    <row r="352" ht="6.6" customHeight="1" x14ac:dyDescent="0.2"/>
    <row r="353" ht="6.6" customHeight="1" x14ac:dyDescent="0.2"/>
    <row r="354" ht="6.6" customHeight="1" x14ac:dyDescent="0.2"/>
    <row r="355" ht="6.6" customHeight="1" x14ac:dyDescent="0.2"/>
    <row r="356" ht="6.6" customHeight="1" x14ac:dyDescent="0.2"/>
    <row r="357" ht="6.6" customHeight="1" x14ac:dyDescent="0.2"/>
    <row r="358" ht="6.6" customHeight="1" x14ac:dyDescent="0.2"/>
    <row r="359" ht="6.6" customHeight="1" x14ac:dyDescent="0.2"/>
    <row r="360" ht="6.6" customHeight="1" x14ac:dyDescent="0.2"/>
    <row r="361" ht="6.6" customHeight="1" x14ac:dyDescent="0.2"/>
    <row r="362" ht="6.6" customHeight="1" x14ac:dyDescent="0.2"/>
    <row r="363" ht="6.6" customHeight="1" x14ac:dyDescent="0.2"/>
    <row r="364" ht="6.6" customHeight="1" x14ac:dyDescent="0.2"/>
    <row r="365" ht="6.6" customHeight="1" x14ac:dyDescent="0.2"/>
    <row r="366" ht="6.6" customHeight="1" x14ac:dyDescent="0.2"/>
    <row r="367" ht="6.6" customHeight="1" x14ac:dyDescent="0.2"/>
    <row r="368" ht="6.6" customHeight="1" x14ac:dyDescent="0.2"/>
    <row r="369" ht="6.6" customHeight="1" x14ac:dyDescent="0.2"/>
    <row r="370" ht="6.6" customHeight="1" x14ac:dyDescent="0.2"/>
    <row r="371" ht="6.6" customHeight="1" x14ac:dyDescent="0.2"/>
    <row r="372" ht="6.6" customHeight="1" x14ac:dyDescent="0.2"/>
    <row r="373" ht="6.6" customHeight="1" x14ac:dyDescent="0.2"/>
    <row r="374" ht="6.6" customHeight="1" x14ac:dyDescent="0.2"/>
    <row r="375" ht="6.6" customHeight="1" x14ac:dyDescent="0.2"/>
    <row r="376" ht="6.6" customHeight="1" x14ac:dyDescent="0.2"/>
    <row r="377" ht="6.6" customHeight="1" x14ac:dyDescent="0.2"/>
    <row r="378" ht="6.6" customHeight="1" x14ac:dyDescent="0.2"/>
    <row r="379" ht="6.6" customHeight="1" x14ac:dyDescent="0.2"/>
    <row r="380" ht="6.6" customHeight="1" x14ac:dyDescent="0.2"/>
    <row r="381" ht="6.6" customHeight="1" x14ac:dyDescent="0.2"/>
    <row r="382" ht="6.6" customHeight="1" x14ac:dyDescent="0.2"/>
    <row r="383" ht="6.6" customHeight="1" x14ac:dyDescent="0.2"/>
    <row r="384" ht="6.6" customHeight="1" x14ac:dyDescent="0.2"/>
    <row r="385" ht="6.6" customHeight="1" x14ac:dyDescent="0.2"/>
    <row r="386" ht="6.6" customHeight="1" x14ac:dyDescent="0.2"/>
    <row r="387" ht="6.6" customHeight="1" x14ac:dyDescent="0.2"/>
    <row r="388" ht="6.6" customHeight="1" x14ac:dyDescent="0.2"/>
    <row r="389" ht="6.6" customHeight="1" x14ac:dyDescent="0.2"/>
    <row r="390" ht="6.6" customHeight="1" x14ac:dyDescent="0.2"/>
    <row r="391" ht="6.6" customHeight="1" x14ac:dyDescent="0.2"/>
    <row r="392" ht="6.6" customHeight="1" x14ac:dyDescent="0.2"/>
    <row r="393" ht="6.6" customHeight="1" x14ac:dyDescent="0.2"/>
    <row r="394" ht="6.6" customHeight="1" x14ac:dyDescent="0.2"/>
    <row r="395" ht="6.6" customHeight="1" x14ac:dyDescent="0.2"/>
    <row r="396" ht="6.6" customHeight="1" x14ac:dyDescent="0.2"/>
    <row r="397" ht="6.6" customHeight="1" x14ac:dyDescent="0.2"/>
    <row r="398" ht="6.6" customHeight="1" x14ac:dyDescent="0.2"/>
    <row r="399" ht="6.6" customHeight="1" x14ac:dyDescent="0.2"/>
    <row r="400" ht="6.6" customHeight="1" x14ac:dyDescent="0.2"/>
    <row r="401" ht="6.6" customHeight="1" x14ac:dyDescent="0.2"/>
    <row r="402" ht="6.6" customHeight="1" x14ac:dyDescent="0.2"/>
    <row r="403" ht="6.6" customHeight="1" x14ac:dyDescent="0.2"/>
    <row r="404" ht="6.6" customHeight="1" x14ac:dyDescent="0.2"/>
    <row r="405" ht="6.6" customHeight="1" x14ac:dyDescent="0.2"/>
    <row r="406" ht="6.6" customHeight="1" x14ac:dyDescent="0.2"/>
    <row r="407" ht="6.6" customHeight="1" x14ac:dyDescent="0.2"/>
    <row r="408" ht="6.6" customHeight="1" x14ac:dyDescent="0.2"/>
    <row r="409" ht="6.6" customHeight="1" x14ac:dyDescent="0.2"/>
    <row r="410" ht="6.6" customHeight="1" x14ac:dyDescent="0.2"/>
  </sheetData>
  <sheetProtection sheet="1" selectLockedCells="1"/>
  <mergeCells count="456">
    <mergeCell ref="AX45:AX49"/>
    <mergeCell ref="W62:AA63"/>
    <mergeCell ref="J32:N33"/>
    <mergeCell ref="O32:S33"/>
    <mergeCell ref="W32:AK33"/>
    <mergeCell ref="AI38:AN42"/>
    <mergeCell ref="E43:H46"/>
    <mergeCell ref="J43:M44"/>
    <mergeCell ref="P54:V55"/>
    <mergeCell ref="AX38:AX41"/>
    <mergeCell ref="J47:M48"/>
    <mergeCell ref="AP59:AS60"/>
    <mergeCell ref="AP61:AS62"/>
    <mergeCell ref="W56:AA57"/>
    <mergeCell ref="AI52:AT53"/>
    <mergeCell ref="E47:H50"/>
    <mergeCell ref="B56:H57"/>
    <mergeCell ref="J55:N56"/>
    <mergeCell ref="B54:H55"/>
    <mergeCell ref="O35:V42"/>
    <mergeCell ref="W35:AB42"/>
    <mergeCell ref="AC35:AH42"/>
    <mergeCell ref="AO35:AT37"/>
    <mergeCell ref="AO38:AT42"/>
    <mergeCell ref="B71:D72"/>
    <mergeCell ref="J72:M73"/>
    <mergeCell ref="B67:I68"/>
    <mergeCell ref="E58:G59"/>
    <mergeCell ref="E71:G72"/>
    <mergeCell ref="B75:F76"/>
    <mergeCell ref="J75:N76"/>
    <mergeCell ref="B78:J79"/>
    <mergeCell ref="B82:H83"/>
    <mergeCell ref="G6:Q7"/>
    <mergeCell ref="A7:F8"/>
    <mergeCell ref="A1:J1"/>
    <mergeCell ref="P1:AG1"/>
    <mergeCell ref="R2:AE2"/>
    <mergeCell ref="A3:F5"/>
    <mergeCell ref="J4:T5"/>
    <mergeCell ref="AE7:AG8"/>
    <mergeCell ref="G12:G13"/>
    <mergeCell ref="A13:F14"/>
    <mergeCell ref="G9:N10"/>
    <mergeCell ref="A10:F11"/>
    <mergeCell ref="S10:X11"/>
    <mergeCell ref="Y9:AB10"/>
    <mergeCell ref="V12:Y13"/>
    <mergeCell ref="AE10:AG11"/>
    <mergeCell ref="S13:U14"/>
    <mergeCell ref="AE13:AJ14"/>
    <mergeCell ref="V6:V7"/>
    <mergeCell ref="Z202:AC203"/>
    <mergeCell ref="N204:Q205"/>
    <mergeCell ref="S204:X205"/>
    <mergeCell ref="N198:T199"/>
    <mergeCell ref="V181:Z182"/>
    <mergeCell ref="AB181:AE182"/>
    <mergeCell ref="A202:D203"/>
    <mergeCell ref="A204:D205"/>
    <mergeCell ref="A206:D207"/>
    <mergeCell ref="F202:K203"/>
    <mergeCell ref="F204:K205"/>
    <mergeCell ref="AD204:AG205"/>
    <mergeCell ref="AF181:AJ182"/>
    <mergeCell ref="A182:E184"/>
    <mergeCell ref="A185:E187"/>
    <mergeCell ref="A188:E190"/>
    <mergeCell ref="A191:E193"/>
    <mergeCell ref="A194:E196"/>
    <mergeCell ref="A197:E199"/>
    <mergeCell ref="AI204:AN205"/>
    <mergeCell ref="AD206:AG207"/>
    <mergeCell ref="AI206:AN207"/>
    <mergeCell ref="AL198:AT199"/>
    <mergeCell ref="AL200:AT201"/>
    <mergeCell ref="F206:K207"/>
    <mergeCell ref="F185:L187"/>
    <mergeCell ref="F188:L190"/>
    <mergeCell ref="F191:L193"/>
    <mergeCell ref="F194:L196"/>
    <mergeCell ref="F197:L199"/>
    <mergeCell ref="B152:W154"/>
    <mergeCell ref="B155:J156"/>
    <mergeCell ref="B157:J158"/>
    <mergeCell ref="L155:R156"/>
    <mergeCell ref="L157:R158"/>
    <mergeCell ref="A200:D201"/>
    <mergeCell ref="F200:K201"/>
    <mergeCell ref="B161:J162"/>
    <mergeCell ref="B163:J164"/>
    <mergeCell ref="B173:E174"/>
    <mergeCell ref="P171:Q172"/>
    <mergeCell ref="B159:J160"/>
    <mergeCell ref="F171:N172"/>
    <mergeCell ref="F173:N174"/>
    <mergeCell ref="B165:J166"/>
    <mergeCell ref="B167:K170"/>
    <mergeCell ref="B171:E172"/>
    <mergeCell ref="A25:D26"/>
    <mergeCell ref="B52:J53"/>
    <mergeCell ref="N196:T197"/>
    <mergeCell ref="N202:S203"/>
    <mergeCell ref="T202:Y203"/>
    <mergeCell ref="A28:D29"/>
    <mergeCell ref="B80:I81"/>
    <mergeCell ref="J85:M86"/>
    <mergeCell ref="B86:F87"/>
    <mergeCell ref="B88:F89"/>
    <mergeCell ref="J88:N89"/>
    <mergeCell ref="B147:F148"/>
    <mergeCell ref="G147:S148"/>
    <mergeCell ref="P131:AN132"/>
    <mergeCell ref="P128:AB129"/>
    <mergeCell ref="A140:D141"/>
    <mergeCell ref="E140:M141"/>
    <mergeCell ref="K130:N131"/>
    <mergeCell ref="K132:N133"/>
    <mergeCell ref="K111:N112"/>
    <mergeCell ref="K113:N114"/>
    <mergeCell ref="K117:N118"/>
    <mergeCell ref="K120:N121"/>
    <mergeCell ref="P115:AB116"/>
    <mergeCell ref="A22:E23"/>
    <mergeCell ref="Y213:AC214"/>
    <mergeCell ref="AD213:AD214"/>
    <mergeCell ref="G213:X214"/>
    <mergeCell ref="U198:AC199"/>
    <mergeCell ref="AD198:AK199"/>
    <mergeCell ref="U196:AC197"/>
    <mergeCell ref="AD196:AK197"/>
    <mergeCell ref="N206:Q207"/>
    <mergeCell ref="S206:X207"/>
    <mergeCell ref="AK183:AK184"/>
    <mergeCell ref="A32:I33"/>
    <mergeCell ref="N200:T201"/>
    <mergeCell ref="U200:AC201"/>
    <mergeCell ref="AD200:AK201"/>
    <mergeCell ref="AF183:AJ184"/>
    <mergeCell ref="X94:AD95"/>
    <mergeCell ref="Z165:AH166"/>
    <mergeCell ref="AJ165:AP166"/>
    <mergeCell ref="Y152:AT154"/>
    <mergeCell ref="Z155:AH156"/>
    <mergeCell ref="AJ155:AP156"/>
    <mergeCell ref="Z157:AH158"/>
    <mergeCell ref="AJ157:AP158"/>
    <mergeCell ref="AL187:AT189"/>
    <mergeCell ref="AD187:AK189"/>
    <mergeCell ref="N190:T191"/>
    <mergeCell ref="U190:AC191"/>
    <mergeCell ref="AD190:AK191"/>
    <mergeCell ref="AL190:AT191"/>
    <mergeCell ref="N187:T189"/>
    <mergeCell ref="U187:AC189"/>
    <mergeCell ref="N192:T193"/>
    <mergeCell ref="U192:AC193"/>
    <mergeCell ref="Z173:AC174"/>
    <mergeCell ref="Z161:AH162"/>
    <mergeCell ref="Z163:AH164"/>
    <mergeCell ref="N178:AT180"/>
    <mergeCell ref="AL108:AO109"/>
    <mergeCell ref="AL99:AO100"/>
    <mergeCell ref="AL111:AM112"/>
    <mergeCell ref="AL127:AP128"/>
    <mergeCell ref="P133:AH134"/>
    <mergeCell ref="AC117:AG118"/>
    <mergeCell ref="AL124:AO125"/>
    <mergeCell ref="AL105:AL106"/>
    <mergeCell ref="N138:Q139"/>
    <mergeCell ref="R138:Z139"/>
    <mergeCell ref="AM173:AN174"/>
    <mergeCell ref="AO173:AS174"/>
    <mergeCell ref="AJ161:AP162"/>
    <mergeCell ref="AJ163:AP164"/>
    <mergeCell ref="AL117:AO118"/>
    <mergeCell ref="X118:AB119"/>
    <mergeCell ref="P118:W119"/>
    <mergeCell ref="P112:AB113"/>
    <mergeCell ref="X120:AJ121"/>
    <mergeCell ref="AH118:AK119"/>
    <mergeCell ref="AP57:AS58"/>
    <mergeCell ref="AI59:AO60"/>
    <mergeCell ref="AC71:AG72"/>
    <mergeCell ref="AP84:AS85"/>
    <mergeCell ref="AP86:AS87"/>
    <mergeCell ref="P69:V70"/>
    <mergeCell ref="P72:V73"/>
    <mergeCell ref="B73:F74"/>
    <mergeCell ref="AL89:AM90"/>
    <mergeCell ref="W59:AA60"/>
    <mergeCell ref="W68:AA69"/>
    <mergeCell ref="W65:AA66"/>
    <mergeCell ref="J81:N82"/>
    <mergeCell ref="AI61:AO62"/>
    <mergeCell ref="B58:D59"/>
    <mergeCell ref="B60:F61"/>
    <mergeCell ref="B62:F63"/>
    <mergeCell ref="J59:M60"/>
    <mergeCell ref="J62:N63"/>
    <mergeCell ref="P60:V61"/>
    <mergeCell ref="B65:J66"/>
    <mergeCell ref="J68:N69"/>
    <mergeCell ref="B69:H70"/>
    <mergeCell ref="AI84:AO85"/>
    <mergeCell ref="P120:W121"/>
    <mergeCell ref="AL96:AO97"/>
    <mergeCell ref="B106:E107"/>
    <mergeCell ref="F106:H107"/>
    <mergeCell ref="B102:I103"/>
    <mergeCell ref="B104:I105"/>
    <mergeCell ref="K99:N100"/>
    <mergeCell ref="K102:N103"/>
    <mergeCell ref="K104:N105"/>
    <mergeCell ref="P106:AB107"/>
    <mergeCell ref="B109:I110"/>
    <mergeCell ref="B111:I112"/>
    <mergeCell ref="B113:I114"/>
    <mergeCell ref="B115:I116"/>
    <mergeCell ref="B118:I119"/>
    <mergeCell ref="AL114:AM115"/>
    <mergeCell ref="P109:AB110"/>
    <mergeCell ref="P103:AB104"/>
    <mergeCell ref="AL102:AP103"/>
    <mergeCell ref="AO89:AP90"/>
    <mergeCell ref="AP63:AS64"/>
    <mergeCell ref="AP65:AS66"/>
    <mergeCell ref="AP67:AS68"/>
    <mergeCell ref="AP69:AS70"/>
    <mergeCell ref="AI75:AO76"/>
    <mergeCell ref="AI78:AO79"/>
    <mergeCell ref="AI80:AO81"/>
    <mergeCell ref="AI82:AO83"/>
    <mergeCell ref="AI69:AO70"/>
    <mergeCell ref="AI71:AO72"/>
    <mergeCell ref="AI73:AO74"/>
    <mergeCell ref="AP75:AS76"/>
    <mergeCell ref="AP78:AS79"/>
    <mergeCell ref="AI65:AO66"/>
    <mergeCell ref="AI67:AO68"/>
    <mergeCell ref="AP80:AS81"/>
    <mergeCell ref="AI63:AO64"/>
    <mergeCell ref="AI86:AO87"/>
    <mergeCell ref="AP82:AS83"/>
    <mergeCell ref="AP73:AS74"/>
    <mergeCell ref="P63:V64"/>
    <mergeCell ref="P66:V67"/>
    <mergeCell ref="AP71:AS72"/>
    <mergeCell ref="A19:E20"/>
    <mergeCell ref="A16:E17"/>
    <mergeCell ref="Q19:U20"/>
    <mergeCell ref="AI57:AO58"/>
    <mergeCell ref="AI55:AO56"/>
    <mergeCell ref="V15:AB16"/>
    <mergeCell ref="E35:H42"/>
    <mergeCell ref="AI35:AN37"/>
    <mergeCell ref="A47:D50"/>
    <mergeCell ref="AO47:AT50"/>
    <mergeCell ref="A43:D46"/>
    <mergeCell ref="T32:U33"/>
    <mergeCell ref="G18:J19"/>
    <mergeCell ref="K18:K19"/>
    <mergeCell ref="L18:N19"/>
    <mergeCell ref="Q22:U23"/>
    <mergeCell ref="AA18:AC19"/>
    <mergeCell ref="S16:U17"/>
    <mergeCell ref="AH22:AN23"/>
    <mergeCell ref="A35:D42"/>
    <mergeCell ref="I35:N42"/>
    <mergeCell ref="G15:N16"/>
    <mergeCell ref="V18:Y19"/>
    <mergeCell ref="Z18:Z19"/>
    <mergeCell ref="AO21:AT22"/>
    <mergeCell ref="P97:AB98"/>
    <mergeCell ref="AI18:AT19"/>
    <mergeCell ref="V21:Z22"/>
    <mergeCell ref="AB21:AF22"/>
    <mergeCell ref="AE19:AH20"/>
    <mergeCell ref="AF25:AI26"/>
    <mergeCell ref="AK24:AT26"/>
    <mergeCell ref="P52:S53"/>
    <mergeCell ref="V52:AB53"/>
    <mergeCell ref="W54:X55"/>
    <mergeCell ref="AC52:AH53"/>
    <mergeCell ref="Q43:T44"/>
    <mergeCell ref="X43:AA44"/>
    <mergeCell ref="AC43:AH46"/>
    <mergeCell ref="AI43:AN46"/>
    <mergeCell ref="AO43:AT46"/>
    <mergeCell ref="AP55:AS56"/>
    <mergeCell ref="Q47:T48"/>
    <mergeCell ref="AC47:AH50"/>
    <mergeCell ref="AI47:AN50"/>
    <mergeCell ref="P122:W123"/>
    <mergeCell ref="K123:N124"/>
    <mergeCell ref="K127:N128"/>
    <mergeCell ref="B121:I122"/>
    <mergeCell ref="B128:I129"/>
    <mergeCell ref="B123:I124"/>
    <mergeCell ref="F24:Q25"/>
    <mergeCell ref="X47:AA48"/>
    <mergeCell ref="AE94:AK95"/>
    <mergeCell ref="W78:AA79"/>
    <mergeCell ref="P75:V76"/>
    <mergeCell ref="P78:V79"/>
    <mergeCell ref="P80:V81"/>
    <mergeCell ref="W86:AA87"/>
    <mergeCell ref="AC80:AG81"/>
    <mergeCell ref="AC82:AG83"/>
    <mergeCell ref="AC84:AG85"/>
    <mergeCell ref="AC86:AG87"/>
    <mergeCell ref="AC78:AG79"/>
    <mergeCell ref="AC75:AG76"/>
    <mergeCell ref="W75:AA76"/>
    <mergeCell ref="E84:G85"/>
    <mergeCell ref="W71:AA72"/>
    <mergeCell ref="P82:V83"/>
    <mergeCell ref="W84:AA85"/>
    <mergeCell ref="K108:N109"/>
    <mergeCell ref="B97:I98"/>
    <mergeCell ref="K93:L94"/>
    <mergeCell ref="K96:N97"/>
    <mergeCell ref="B100:I101"/>
    <mergeCell ref="B91:J92"/>
    <mergeCell ref="B94:H95"/>
    <mergeCell ref="P84:V85"/>
    <mergeCell ref="P86:V87"/>
    <mergeCell ref="P92:W93"/>
    <mergeCell ref="P89:AB91"/>
    <mergeCell ref="B84:D85"/>
    <mergeCell ref="P94:W95"/>
    <mergeCell ref="X92:AD93"/>
    <mergeCell ref="P100:AB101"/>
    <mergeCell ref="AL196:AT197"/>
    <mergeCell ref="AD192:AK193"/>
    <mergeCell ref="AL192:AT193"/>
    <mergeCell ref="N194:T195"/>
    <mergeCell ref="U194:AC195"/>
    <mergeCell ref="AD194:AK195"/>
    <mergeCell ref="AL194:AT195"/>
    <mergeCell ref="L159:R160"/>
    <mergeCell ref="L161:R162"/>
    <mergeCell ref="AL181:AL182"/>
    <mergeCell ref="AD169:AK170"/>
    <mergeCell ref="AD173:AK174"/>
    <mergeCell ref="AM181:AQ182"/>
    <mergeCell ref="Z159:AH160"/>
    <mergeCell ref="AJ159:AP160"/>
    <mergeCell ref="P173:Q174"/>
    <mergeCell ref="R171:V172"/>
    <mergeCell ref="R173:V174"/>
    <mergeCell ref="L163:R164"/>
    <mergeCell ref="L165:R166"/>
    <mergeCell ref="S165:W166"/>
    <mergeCell ref="Z169:AC170"/>
    <mergeCell ref="AM169:AN170"/>
    <mergeCell ref="AO169:AS170"/>
    <mergeCell ref="AD144:AP145"/>
    <mergeCell ref="AD147:AP148"/>
    <mergeCell ref="W147:AC148"/>
    <mergeCell ref="W144:AC145"/>
    <mergeCell ref="B144:F145"/>
    <mergeCell ref="G144:S145"/>
    <mergeCell ref="N140:Q141"/>
    <mergeCell ref="R140:Z141"/>
    <mergeCell ref="B125:E126"/>
    <mergeCell ref="F125:H126"/>
    <mergeCell ref="P125:AB126"/>
    <mergeCell ref="AH138:AP139"/>
    <mergeCell ref="AH140:AP141"/>
    <mergeCell ref="A136:D137"/>
    <mergeCell ref="A138:D139"/>
    <mergeCell ref="E138:M139"/>
    <mergeCell ref="B132:I133"/>
    <mergeCell ref="A216:K218"/>
    <mergeCell ref="A219:K221"/>
    <mergeCell ref="A222:K224"/>
    <mergeCell ref="L216:N218"/>
    <mergeCell ref="L222:N224"/>
    <mergeCell ref="B130:I131"/>
    <mergeCell ref="AQ216:AT218"/>
    <mergeCell ref="AQ219:AT221"/>
    <mergeCell ref="AQ222:AT224"/>
    <mergeCell ref="AI216:AL218"/>
    <mergeCell ref="AI219:AL221"/>
    <mergeCell ref="AI222:AL224"/>
    <mergeCell ref="AM216:AP218"/>
    <mergeCell ref="W216:Z218"/>
    <mergeCell ref="W219:Z221"/>
    <mergeCell ref="AA216:AD218"/>
    <mergeCell ref="AA219:AD221"/>
    <mergeCell ref="AA222:AD224"/>
    <mergeCell ref="AA138:AG139"/>
    <mergeCell ref="AA140:AG141"/>
    <mergeCell ref="AP130:AP131"/>
    <mergeCell ref="A179:L181"/>
    <mergeCell ref="N181:U182"/>
    <mergeCell ref="F182:L184"/>
    <mergeCell ref="AI226:AN227"/>
    <mergeCell ref="AE216:AH218"/>
    <mergeCell ref="AE222:AH224"/>
    <mergeCell ref="O216:R218"/>
    <mergeCell ref="O219:R221"/>
    <mergeCell ref="O222:R224"/>
    <mergeCell ref="S216:V218"/>
    <mergeCell ref="S219:V221"/>
    <mergeCell ref="S222:V224"/>
    <mergeCell ref="W222:Z224"/>
    <mergeCell ref="A237:D238"/>
    <mergeCell ref="A241:D242"/>
    <mergeCell ref="AM219:AP221"/>
    <mergeCell ref="AM222:AP224"/>
    <mergeCell ref="B226:E227"/>
    <mergeCell ref="F226:K227"/>
    <mergeCell ref="AE219:AH221"/>
    <mergeCell ref="K241:P242"/>
    <mergeCell ref="Q241:U242"/>
    <mergeCell ref="W241:AA242"/>
    <mergeCell ref="AB241:AF242"/>
    <mergeCell ref="V237:X238"/>
    <mergeCell ref="M226:N227"/>
    <mergeCell ref="O226:T227"/>
    <mergeCell ref="V226:Y227"/>
    <mergeCell ref="Z226:AE227"/>
    <mergeCell ref="Y237:AF238"/>
    <mergeCell ref="AI241:AL242"/>
    <mergeCell ref="AN241:AS242"/>
    <mergeCell ref="E237:I238"/>
    <mergeCell ref="E241:I242"/>
    <mergeCell ref="AI235:AL236"/>
    <mergeCell ref="AN235:AS236"/>
    <mergeCell ref="L219:N221"/>
    <mergeCell ref="AI237:AL238"/>
    <mergeCell ref="AN237:AS238"/>
    <mergeCell ref="AI239:AL240"/>
    <mergeCell ref="AN239:AS240"/>
    <mergeCell ref="H2:H4"/>
    <mergeCell ref="F27:AS28"/>
    <mergeCell ref="AO1:AT5"/>
    <mergeCell ref="L167:R168"/>
    <mergeCell ref="S167:W168"/>
    <mergeCell ref="E135:AR136"/>
    <mergeCell ref="G21:O23"/>
    <mergeCell ref="P57:V58"/>
    <mergeCell ref="S7:U8"/>
    <mergeCell ref="X6:Z8"/>
    <mergeCell ref="AA6:AB7"/>
    <mergeCell ref="AK12:AT13"/>
    <mergeCell ref="AK15:AT16"/>
    <mergeCell ref="AE16:AJ17"/>
    <mergeCell ref="AI9:AN10"/>
    <mergeCell ref="AI6:AQ7"/>
    <mergeCell ref="AQ212:AT215"/>
    <mergeCell ref="X122:AJ123"/>
    <mergeCell ref="A232:AT234"/>
    <mergeCell ref="AG226:AH227"/>
  </mergeCells>
  <conditionalFormatting sqref="AP55:AS64">
    <cfRule type="cellIs" dxfId="3" priority="2" operator="equal">
      <formula>0</formula>
    </cfRule>
  </conditionalFormatting>
  <conditionalFormatting sqref="AP73:AS74 AC84:AG87">
    <cfRule type="cellIs" dxfId="2" priority="1" operator="equal">
      <formula>100</formula>
    </cfRule>
  </conditionalFormatting>
  <dataValidations count="3">
    <dataValidation type="list" allowBlank="1" showInputMessage="1" showErrorMessage="1" sqref="H2:H4">
      <formula1>"M,E"</formula1>
    </dataValidation>
    <dataValidation type="list" allowBlank="1" showInputMessage="1" showErrorMessage="1" sqref="AM32">
      <formula1>"1,2"</formula1>
    </dataValidation>
    <dataValidation type="list" allowBlank="1" showInputMessage="1" showErrorMessage="1" sqref="AP130:AP131">
      <formula1>"G, N, S"</formula1>
    </dataValidation>
  </dataValidations>
  <pageMargins left="0.23" right="0.17" top="0.18" bottom="0.17" header="0" footer="0"/>
  <pageSetup fitToHeight="0" orientation="portrait" r:id="rId1"/>
  <headerFooter alignWithMargins="0"/>
  <rowBreaks count="1" manualBreakCount="1">
    <brk id="142" max="16383" man="1"/>
  </rowBreaks>
  <ignoredErrors>
    <ignoredError sqref="V251:V252" evalErro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U170"/>
  <sheetViews>
    <sheetView showGridLines="0" topLeftCell="A4" workbookViewId="0">
      <selection activeCell="AO62" sqref="AO62:AS63"/>
    </sheetView>
  </sheetViews>
  <sheetFormatPr defaultRowHeight="11.25" x14ac:dyDescent="0.2"/>
  <cols>
    <col min="1" max="49" width="2.28515625" style="1" customWidth="1"/>
    <col min="50" max="16384" width="9.140625" style="1"/>
  </cols>
  <sheetData>
    <row r="1" spans="1:46" ht="11.25" customHeight="1" x14ac:dyDescent="0.2">
      <c r="A1" s="765" t="s">
        <v>0</v>
      </c>
      <c r="B1" s="765"/>
      <c r="C1" s="765"/>
      <c r="D1" s="765"/>
      <c r="E1" s="765"/>
      <c r="F1" s="765"/>
      <c r="G1" s="765"/>
      <c r="H1" s="765"/>
      <c r="I1" s="765"/>
      <c r="J1" s="765"/>
      <c r="P1" s="763" t="s">
        <v>1</v>
      </c>
      <c r="Q1" s="763"/>
      <c r="R1" s="763"/>
      <c r="S1" s="763"/>
      <c r="T1" s="763"/>
      <c r="U1" s="763"/>
      <c r="V1" s="763"/>
      <c r="W1" s="763"/>
      <c r="X1" s="763"/>
      <c r="Y1" s="763"/>
      <c r="Z1" s="763"/>
      <c r="AA1" s="763"/>
      <c r="AB1" s="763"/>
      <c r="AC1" s="763"/>
      <c r="AD1" s="763"/>
      <c r="AE1" s="763"/>
      <c r="AF1" s="763"/>
      <c r="AG1" s="763"/>
      <c r="AO1" s="875" t="s">
        <v>4</v>
      </c>
      <c r="AP1" s="875"/>
      <c r="AQ1" s="875"/>
      <c r="AR1" s="875"/>
      <c r="AS1" s="875"/>
      <c r="AT1" s="875"/>
    </row>
    <row r="2" spans="1:46" ht="15.75" x14ac:dyDescent="0.25">
      <c r="H2" s="6"/>
      <c r="R2" s="764" t="s">
        <v>3</v>
      </c>
      <c r="S2" s="764"/>
      <c r="T2" s="764"/>
      <c r="U2" s="764"/>
      <c r="V2" s="764"/>
      <c r="W2" s="764"/>
      <c r="X2" s="764"/>
      <c r="Y2" s="764"/>
      <c r="Z2" s="764"/>
      <c r="AA2" s="764"/>
      <c r="AB2" s="764"/>
      <c r="AC2" s="764"/>
      <c r="AD2" s="764"/>
      <c r="AE2" s="764"/>
      <c r="AO2" s="875"/>
      <c r="AP2" s="875"/>
      <c r="AQ2" s="875"/>
      <c r="AR2" s="875"/>
      <c r="AS2" s="875"/>
      <c r="AT2" s="875"/>
    </row>
    <row r="3" spans="1:46" ht="3.75" customHeight="1" x14ac:dyDescent="0.2">
      <c r="A3" s="765" t="s">
        <v>2</v>
      </c>
      <c r="B3" s="765"/>
      <c r="C3" s="765"/>
      <c r="D3" s="765"/>
      <c r="E3" s="765"/>
      <c r="F3" s="765"/>
      <c r="H3" s="444"/>
      <c r="K3" s="5"/>
      <c r="L3" s="5"/>
      <c r="M3" s="5"/>
      <c r="N3" s="5"/>
      <c r="O3" s="5"/>
      <c r="P3" s="5"/>
      <c r="Q3" s="5"/>
      <c r="R3" s="5"/>
      <c r="S3" s="5"/>
      <c r="T3" s="5"/>
      <c r="AO3" s="875"/>
      <c r="AP3" s="875"/>
      <c r="AQ3" s="875"/>
      <c r="AR3" s="875"/>
      <c r="AS3" s="875"/>
      <c r="AT3" s="875"/>
    </row>
    <row r="4" spans="1:46" ht="6.2" customHeight="1" x14ac:dyDescent="0.2">
      <c r="A4" s="765"/>
      <c r="B4" s="765"/>
      <c r="C4" s="765"/>
      <c r="D4" s="765"/>
      <c r="E4" s="765"/>
      <c r="F4" s="765"/>
      <c r="H4" s="444"/>
      <c r="J4" s="766" t="s">
        <v>44</v>
      </c>
      <c r="K4" s="766"/>
      <c r="L4" s="766"/>
      <c r="M4" s="766"/>
      <c r="N4" s="766"/>
      <c r="O4" s="766"/>
      <c r="P4" s="766"/>
      <c r="Q4" s="766"/>
      <c r="R4" s="766"/>
      <c r="S4" s="766"/>
      <c r="T4" s="766"/>
      <c r="AO4" s="875"/>
      <c r="AP4" s="875"/>
      <c r="AQ4" s="875"/>
      <c r="AR4" s="875"/>
      <c r="AS4" s="875"/>
      <c r="AT4" s="875"/>
    </row>
    <row r="5" spans="1:46" ht="5.65" customHeight="1" x14ac:dyDescent="0.2">
      <c r="A5" s="765"/>
      <c r="B5" s="765"/>
      <c r="C5" s="765"/>
      <c r="D5" s="765"/>
      <c r="E5" s="765"/>
      <c r="F5" s="765"/>
      <c r="H5" s="7"/>
      <c r="J5" s="766"/>
      <c r="K5" s="766"/>
      <c r="L5" s="766"/>
      <c r="M5" s="766"/>
      <c r="N5" s="766"/>
      <c r="O5" s="766"/>
      <c r="P5" s="766"/>
      <c r="Q5" s="766"/>
      <c r="R5" s="766"/>
      <c r="S5" s="766"/>
      <c r="T5" s="766"/>
    </row>
    <row r="6" spans="1:46" ht="6.2" customHeight="1" x14ac:dyDescent="0.2">
      <c r="G6" s="444"/>
      <c r="H6" s="444"/>
      <c r="I6" s="444"/>
      <c r="J6" s="444"/>
      <c r="K6" s="444"/>
      <c r="L6" s="444"/>
      <c r="M6" s="444"/>
      <c r="N6" s="444"/>
      <c r="O6" s="444"/>
      <c r="P6" s="444"/>
      <c r="Q6" s="444"/>
      <c r="S6" s="775" t="s">
        <v>14</v>
      </c>
      <c r="T6" s="775"/>
      <c r="U6" s="775"/>
      <c r="V6" s="775"/>
      <c r="W6" s="775"/>
      <c r="X6" s="775"/>
      <c r="Y6" s="444"/>
      <c r="Z6" s="444"/>
      <c r="AA6" s="444"/>
      <c r="AB6" s="444"/>
      <c r="AC6" s="444"/>
      <c r="AD6" s="444"/>
      <c r="AE6" s="444"/>
      <c r="AF6" s="444"/>
      <c r="AL6" s="444"/>
      <c r="AM6" s="444"/>
      <c r="AN6" s="444"/>
      <c r="AO6" s="444"/>
      <c r="AP6" s="444"/>
      <c r="AQ6" s="444"/>
      <c r="AR6" s="444"/>
      <c r="AS6" s="444"/>
      <c r="AT6" s="444"/>
    </row>
    <row r="7" spans="1:46" ht="6.2" customHeight="1" x14ac:dyDescent="0.2">
      <c r="A7" s="765" t="s">
        <v>5</v>
      </c>
      <c r="B7" s="765"/>
      <c r="C7" s="765"/>
      <c r="D7" s="765"/>
      <c r="E7" s="765"/>
      <c r="F7" s="765"/>
      <c r="G7" s="444"/>
      <c r="H7" s="444"/>
      <c r="I7" s="444"/>
      <c r="J7" s="444"/>
      <c r="K7" s="444"/>
      <c r="L7" s="444"/>
      <c r="M7" s="444"/>
      <c r="N7" s="444"/>
      <c r="O7" s="444"/>
      <c r="P7" s="444"/>
      <c r="Q7" s="444"/>
      <c r="S7" s="775"/>
      <c r="T7" s="775"/>
      <c r="U7" s="775"/>
      <c r="V7" s="775"/>
      <c r="W7" s="775"/>
      <c r="X7" s="775"/>
      <c r="Y7" s="444"/>
      <c r="Z7" s="444"/>
      <c r="AA7" s="444"/>
      <c r="AB7" s="444"/>
      <c r="AC7" s="444"/>
      <c r="AD7" s="444"/>
      <c r="AE7" s="444"/>
      <c r="AF7" s="444"/>
      <c r="AH7" s="765" t="s">
        <v>15</v>
      </c>
      <c r="AI7" s="765"/>
      <c r="AJ7" s="765"/>
      <c r="AL7" s="444"/>
      <c r="AM7" s="444"/>
      <c r="AN7" s="444"/>
      <c r="AO7" s="444"/>
      <c r="AP7" s="444"/>
      <c r="AQ7" s="444"/>
      <c r="AR7" s="444"/>
      <c r="AS7" s="444"/>
      <c r="AT7" s="444"/>
    </row>
    <row r="8" spans="1:46" ht="5.65" customHeight="1" x14ac:dyDescent="0.2">
      <c r="A8" s="765"/>
      <c r="B8" s="765"/>
      <c r="C8" s="765"/>
      <c r="D8" s="765"/>
      <c r="E8" s="765"/>
      <c r="F8" s="765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S8" s="775"/>
      <c r="T8" s="775"/>
      <c r="U8" s="775"/>
      <c r="V8" s="775"/>
      <c r="W8" s="775"/>
      <c r="X8" s="775"/>
      <c r="Y8" s="7"/>
      <c r="Z8" s="7"/>
      <c r="AA8" s="7"/>
      <c r="AB8" s="7"/>
      <c r="AC8" s="7"/>
      <c r="AD8" s="7"/>
      <c r="AE8" s="7"/>
      <c r="AF8" s="7"/>
      <c r="AH8" s="765"/>
      <c r="AI8" s="765"/>
      <c r="AJ8" s="765"/>
      <c r="AK8" s="8"/>
      <c r="AL8" s="7"/>
      <c r="AM8" s="7"/>
      <c r="AN8" s="7"/>
      <c r="AO8" s="7"/>
      <c r="AP8" s="7"/>
      <c r="AQ8" s="7"/>
      <c r="AR8" s="7"/>
      <c r="AS8" s="7"/>
      <c r="AT8" s="7"/>
    </row>
    <row r="9" spans="1:46" ht="6.2" customHeight="1" x14ac:dyDescent="0.2">
      <c r="A9" s="4"/>
      <c r="B9" s="4"/>
      <c r="C9" s="4"/>
      <c r="D9" s="4"/>
      <c r="E9" s="4"/>
      <c r="F9" s="4"/>
      <c r="G9" s="281"/>
      <c r="H9" s="281"/>
      <c r="I9" s="281"/>
      <c r="J9" s="281"/>
      <c r="K9" s="281"/>
      <c r="L9" s="281"/>
      <c r="M9" s="281"/>
      <c r="N9" s="281"/>
      <c r="O9" s="8"/>
      <c r="P9" s="8"/>
      <c r="Q9" s="8"/>
      <c r="S9" s="775" t="s">
        <v>522</v>
      </c>
      <c r="T9" s="775"/>
      <c r="U9" s="775"/>
      <c r="V9" s="775"/>
      <c r="W9" s="775"/>
      <c r="X9" s="775"/>
      <c r="Y9" s="444"/>
      <c r="Z9" s="444"/>
      <c r="AA9" s="444"/>
      <c r="AB9" s="444"/>
      <c r="AC9" s="444"/>
      <c r="AD9" s="444"/>
      <c r="AE9" s="444"/>
      <c r="AF9" s="444"/>
      <c r="AL9" s="281"/>
      <c r="AM9" s="281"/>
      <c r="AN9" s="281"/>
      <c r="AO9" s="281"/>
      <c r="AP9" s="281"/>
      <c r="AQ9" s="281"/>
    </row>
    <row r="10" spans="1:46" ht="6.2" customHeight="1" x14ac:dyDescent="0.2">
      <c r="A10" s="765" t="s">
        <v>6</v>
      </c>
      <c r="B10" s="765"/>
      <c r="C10" s="765"/>
      <c r="D10" s="765"/>
      <c r="E10" s="765"/>
      <c r="F10" s="765"/>
      <c r="G10" s="276"/>
      <c r="H10" s="276"/>
      <c r="I10" s="276"/>
      <c r="J10" s="276"/>
      <c r="K10" s="276"/>
      <c r="L10" s="276"/>
      <c r="M10" s="276"/>
      <c r="N10" s="276"/>
      <c r="S10" s="775"/>
      <c r="T10" s="775"/>
      <c r="U10" s="775"/>
      <c r="V10" s="775"/>
      <c r="W10" s="775"/>
      <c r="X10" s="775"/>
      <c r="Y10" s="444"/>
      <c r="Z10" s="444"/>
      <c r="AA10" s="444"/>
      <c r="AB10" s="444"/>
      <c r="AC10" s="444"/>
      <c r="AD10" s="444"/>
      <c r="AE10" s="444"/>
      <c r="AF10" s="444"/>
      <c r="AH10" s="766" t="s">
        <v>16</v>
      </c>
      <c r="AI10" s="766"/>
      <c r="AJ10" s="766"/>
      <c r="AL10" s="444"/>
      <c r="AM10" s="444"/>
      <c r="AN10" s="444"/>
      <c r="AO10" s="444"/>
      <c r="AP10" s="444"/>
      <c r="AQ10" s="444"/>
    </row>
    <row r="11" spans="1:46" ht="5.65" customHeight="1" x14ac:dyDescent="0.2">
      <c r="A11" s="765"/>
      <c r="B11" s="765"/>
      <c r="C11" s="765"/>
      <c r="D11" s="765"/>
      <c r="E11" s="765"/>
      <c r="F11" s="765"/>
      <c r="G11" s="7"/>
      <c r="H11" s="7"/>
      <c r="I11" s="7"/>
      <c r="J11" s="7"/>
      <c r="K11" s="7"/>
      <c r="L11" s="7"/>
      <c r="M11" s="7"/>
      <c r="N11" s="7"/>
      <c r="S11" s="775"/>
      <c r="T11" s="775"/>
      <c r="U11" s="775"/>
      <c r="V11" s="775"/>
      <c r="W11" s="775"/>
      <c r="X11" s="775"/>
      <c r="Y11" s="7"/>
      <c r="Z11" s="7"/>
      <c r="AA11" s="7"/>
      <c r="AB11" s="7"/>
      <c r="AC11" s="7"/>
      <c r="AD11" s="7"/>
      <c r="AE11" s="7"/>
      <c r="AF11" s="7"/>
      <c r="AH11" s="766"/>
      <c r="AI11" s="766"/>
      <c r="AJ11" s="766"/>
      <c r="AL11" s="7"/>
      <c r="AM11" s="7"/>
      <c r="AN11" s="7"/>
      <c r="AO11" s="7"/>
      <c r="AP11" s="7"/>
      <c r="AQ11" s="7"/>
    </row>
    <row r="12" spans="1:46" ht="6.2" customHeight="1" x14ac:dyDescent="0.2">
      <c r="A12" s="4"/>
      <c r="B12" s="4"/>
      <c r="C12" s="4"/>
      <c r="D12" s="4"/>
      <c r="E12" s="4"/>
      <c r="F12" s="4"/>
      <c r="G12" s="281"/>
      <c r="P12" s="444"/>
      <c r="Q12" s="444"/>
      <c r="R12" s="444"/>
      <c r="S12" s="444"/>
      <c r="T12" s="444"/>
      <c r="U12" s="444"/>
      <c r="AC12" s="444"/>
      <c r="AD12" s="444"/>
      <c r="AE12" s="444"/>
      <c r="AF12" s="444"/>
      <c r="AL12" s="444"/>
      <c r="AM12" s="444"/>
      <c r="AN12" s="444"/>
      <c r="AO12" s="444"/>
      <c r="AP12" s="444"/>
      <c r="AQ12" s="444"/>
      <c r="AR12" s="444"/>
    </row>
    <row r="13" spans="1:46" ht="6.2" customHeight="1" x14ac:dyDescent="0.2">
      <c r="A13" s="765" t="s">
        <v>7</v>
      </c>
      <c r="B13" s="765"/>
      <c r="C13" s="765"/>
      <c r="D13" s="765"/>
      <c r="E13" s="765"/>
      <c r="F13" s="765"/>
      <c r="G13" s="444"/>
      <c r="J13" s="765" t="s">
        <v>11</v>
      </c>
      <c r="K13" s="765"/>
      <c r="L13" s="765"/>
      <c r="M13" s="765"/>
      <c r="N13" s="765"/>
      <c r="P13" s="444"/>
      <c r="Q13" s="444"/>
      <c r="R13" s="444"/>
      <c r="S13" s="444"/>
      <c r="T13" s="444"/>
      <c r="U13" s="444"/>
      <c r="W13" s="765" t="s">
        <v>13</v>
      </c>
      <c r="X13" s="765"/>
      <c r="Y13" s="765"/>
      <c r="Z13" s="765"/>
      <c r="AA13" s="765"/>
      <c r="AC13" s="444"/>
      <c r="AD13" s="444"/>
      <c r="AE13" s="444"/>
      <c r="AF13" s="444"/>
      <c r="AH13" s="766" t="s">
        <v>17</v>
      </c>
      <c r="AI13" s="766"/>
      <c r="AJ13" s="766"/>
      <c r="AL13" s="444"/>
      <c r="AM13" s="444"/>
      <c r="AN13" s="444"/>
      <c r="AO13" s="444"/>
      <c r="AP13" s="444"/>
      <c r="AQ13" s="444"/>
      <c r="AR13" s="444"/>
    </row>
    <row r="14" spans="1:46" ht="5.65" customHeight="1" x14ac:dyDescent="0.2">
      <c r="A14" s="765"/>
      <c r="B14" s="765"/>
      <c r="C14" s="765"/>
      <c r="D14" s="765"/>
      <c r="E14" s="765"/>
      <c r="F14" s="765"/>
      <c r="G14" s="7"/>
      <c r="J14" s="765"/>
      <c r="K14" s="765"/>
      <c r="L14" s="765"/>
      <c r="M14" s="765"/>
      <c r="N14" s="765"/>
      <c r="P14" s="7"/>
      <c r="Q14" s="7"/>
      <c r="R14" s="7"/>
      <c r="S14" s="7"/>
      <c r="T14" s="7"/>
      <c r="U14" s="7"/>
      <c r="W14" s="765"/>
      <c r="X14" s="765"/>
      <c r="Y14" s="765"/>
      <c r="Z14" s="765"/>
      <c r="AA14" s="765"/>
      <c r="AC14" s="7"/>
      <c r="AD14" s="7"/>
      <c r="AE14" s="7"/>
      <c r="AF14" s="7"/>
      <c r="AH14" s="766"/>
      <c r="AI14" s="766"/>
      <c r="AJ14" s="766"/>
      <c r="AL14" s="7"/>
      <c r="AM14" s="7"/>
      <c r="AN14" s="7"/>
      <c r="AO14" s="7"/>
      <c r="AP14" s="7"/>
      <c r="AQ14" s="7"/>
      <c r="AR14" s="7"/>
    </row>
    <row r="15" spans="1:46" ht="6.2" customHeight="1" x14ac:dyDescent="0.2">
      <c r="A15" s="4"/>
      <c r="B15" s="4"/>
      <c r="C15" s="4"/>
      <c r="D15" s="4"/>
      <c r="E15" s="4"/>
      <c r="F15" s="4"/>
      <c r="G15" s="444"/>
      <c r="H15" s="444"/>
      <c r="I15" s="444"/>
      <c r="J15" s="444"/>
      <c r="K15" s="444"/>
      <c r="L15" s="444"/>
      <c r="M15" s="444"/>
      <c r="N15" s="444"/>
      <c r="S15" s="444"/>
      <c r="T15" s="444"/>
      <c r="U15" s="444"/>
      <c r="V15" s="444"/>
      <c r="W15" s="444"/>
      <c r="X15" s="444"/>
      <c r="AE15" s="444"/>
      <c r="AF15" s="444"/>
      <c r="AG15" s="444"/>
      <c r="AH15" s="444"/>
      <c r="AO15" s="281"/>
    </row>
    <row r="16" spans="1:46" ht="6.2" customHeight="1" x14ac:dyDescent="0.2">
      <c r="A16" s="765" t="s">
        <v>8</v>
      </c>
      <c r="B16" s="765"/>
      <c r="C16" s="765"/>
      <c r="D16" s="765"/>
      <c r="E16" s="765"/>
      <c r="F16" s="765"/>
      <c r="G16" s="444"/>
      <c r="H16" s="444"/>
      <c r="I16" s="444"/>
      <c r="J16" s="444"/>
      <c r="K16" s="444"/>
      <c r="L16" s="444"/>
      <c r="M16" s="444"/>
      <c r="N16" s="444"/>
      <c r="P16" s="766" t="s">
        <v>40</v>
      </c>
      <c r="Q16" s="766"/>
      <c r="S16" s="444"/>
      <c r="T16" s="444"/>
      <c r="U16" s="444"/>
      <c r="V16" s="444"/>
      <c r="W16" s="444"/>
      <c r="X16" s="444"/>
      <c r="Z16" s="765" t="s">
        <v>41</v>
      </c>
      <c r="AA16" s="765"/>
      <c r="AB16" s="765"/>
      <c r="AC16" s="765"/>
      <c r="AE16" s="444"/>
      <c r="AF16" s="444"/>
      <c r="AG16" s="444"/>
      <c r="AH16" s="444"/>
      <c r="AJ16" s="763" t="s">
        <v>42</v>
      </c>
      <c r="AK16" s="763"/>
      <c r="AL16" s="763"/>
      <c r="AM16" s="763"/>
      <c r="AO16" s="444"/>
      <c r="AQ16" s="763" t="s">
        <v>43</v>
      </c>
      <c r="AR16" s="763"/>
    </row>
    <row r="17" spans="1:47" ht="5.65" customHeight="1" x14ac:dyDescent="0.2">
      <c r="A17" s="765"/>
      <c r="B17" s="765"/>
      <c r="C17" s="765"/>
      <c r="D17" s="765"/>
      <c r="E17" s="765"/>
      <c r="F17" s="765"/>
      <c r="G17" s="7"/>
      <c r="H17" s="7"/>
      <c r="I17" s="7"/>
      <c r="J17" s="7"/>
      <c r="K17" s="7"/>
      <c r="L17" s="7"/>
      <c r="M17" s="7"/>
      <c r="N17" s="7"/>
      <c r="P17" s="766"/>
      <c r="Q17" s="766"/>
      <c r="S17" s="7"/>
      <c r="T17" s="7"/>
      <c r="U17" s="7"/>
      <c r="V17" s="7"/>
      <c r="W17" s="7"/>
      <c r="X17" s="7"/>
      <c r="Z17" s="765"/>
      <c r="AA17" s="765"/>
      <c r="AB17" s="765"/>
      <c r="AC17" s="765"/>
      <c r="AE17" s="7"/>
      <c r="AF17" s="7"/>
      <c r="AG17" s="7"/>
      <c r="AH17" s="7"/>
      <c r="AJ17" s="763"/>
      <c r="AK17" s="763"/>
      <c r="AL17" s="763"/>
      <c r="AM17" s="763"/>
      <c r="AO17" s="7"/>
      <c r="AQ17" s="763"/>
      <c r="AR17" s="763"/>
    </row>
    <row r="18" spans="1:47" ht="6.2" customHeight="1" x14ac:dyDescent="0.2">
      <c r="A18" s="4"/>
      <c r="B18" s="4"/>
      <c r="C18" s="4"/>
      <c r="D18" s="4"/>
      <c r="E18" s="4"/>
      <c r="F18" s="656"/>
      <c r="G18" s="656"/>
      <c r="H18" s="656"/>
      <c r="I18" s="656"/>
      <c r="J18" s="656"/>
      <c r="K18" s="656"/>
      <c r="L18" s="656"/>
      <c r="M18" s="656"/>
      <c r="N18" s="656"/>
      <c r="O18" s="656"/>
      <c r="P18" s="656"/>
      <c r="Q18" s="656"/>
      <c r="Z18" s="276"/>
      <c r="AK18" s="444"/>
      <c r="AL18" s="444"/>
      <c r="AM18" s="444"/>
      <c r="AN18" s="444"/>
      <c r="AO18" s="444"/>
      <c r="AP18" s="444"/>
      <c r="AQ18" s="444"/>
      <c r="AR18" s="444"/>
      <c r="AS18" s="444"/>
      <c r="AT18" s="444"/>
    </row>
    <row r="19" spans="1:47" ht="6.2" customHeight="1" x14ac:dyDescent="0.2">
      <c r="A19" s="765" t="s">
        <v>9</v>
      </c>
      <c r="B19" s="765"/>
      <c r="C19" s="765"/>
      <c r="D19" s="765"/>
      <c r="F19" s="656"/>
      <c r="G19" s="656"/>
      <c r="H19" s="656"/>
      <c r="I19" s="656"/>
      <c r="J19" s="656"/>
      <c r="K19" s="656"/>
      <c r="L19" s="656"/>
      <c r="M19" s="656"/>
      <c r="N19" s="656"/>
      <c r="O19" s="656"/>
      <c r="P19" s="656"/>
      <c r="Q19" s="656"/>
      <c r="T19" s="765" t="s">
        <v>12</v>
      </c>
      <c r="U19" s="765"/>
      <c r="V19" s="765"/>
      <c r="W19" s="765"/>
      <c r="Z19" s="276"/>
      <c r="AF19" s="766" t="s">
        <v>45</v>
      </c>
      <c r="AG19" s="766"/>
      <c r="AH19" s="766"/>
      <c r="AI19" s="766"/>
      <c r="AK19" s="444"/>
      <c r="AL19" s="444"/>
      <c r="AM19" s="444"/>
      <c r="AN19" s="444"/>
      <c r="AO19" s="444"/>
      <c r="AP19" s="444"/>
      <c r="AQ19" s="444"/>
      <c r="AR19" s="444"/>
      <c r="AS19" s="444"/>
      <c r="AT19" s="444"/>
    </row>
    <row r="20" spans="1:47" ht="5.65" customHeight="1" x14ac:dyDescent="0.2">
      <c r="A20" s="765"/>
      <c r="B20" s="765"/>
      <c r="C20" s="765"/>
      <c r="D20" s="765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T20" s="765"/>
      <c r="U20" s="765"/>
      <c r="V20" s="765"/>
      <c r="W20" s="765"/>
      <c r="Z20" s="7"/>
      <c r="AF20" s="766"/>
      <c r="AG20" s="766"/>
      <c r="AH20" s="766"/>
      <c r="AI20" s="766"/>
      <c r="AK20" s="279"/>
      <c r="AL20" s="279"/>
      <c r="AM20" s="279"/>
      <c r="AN20" s="279"/>
      <c r="AO20" s="279"/>
      <c r="AP20" s="279"/>
      <c r="AQ20" s="279"/>
      <c r="AR20" s="279"/>
      <c r="AS20" s="279"/>
      <c r="AT20" s="279"/>
    </row>
    <row r="21" spans="1:47" ht="6.2" customHeight="1" x14ac:dyDescent="0.2">
      <c r="A21" s="4"/>
      <c r="B21" s="4"/>
      <c r="C21" s="4"/>
      <c r="D21" s="4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  <c r="V21" s="444"/>
      <c r="W21" s="444"/>
      <c r="X21" s="444"/>
      <c r="Y21" s="444"/>
      <c r="Z21" s="444"/>
      <c r="AA21" s="444"/>
      <c r="AB21" s="444"/>
      <c r="AC21" s="444"/>
      <c r="AD21" s="444"/>
      <c r="AE21" s="444"/>
      <c r="AF21" s="444"/>
      <c r="AG21" s="444"/>
      <c r="AH21" s="444"/>
      <c r="AI21" s="444"/>
      <c r="AJ21" s="444"/>
      <c r="AK21" s="444"/>
      <c r="AL21" s="444"/>
      <c r="AM21" s="444"/>
      <c r="AN21" s="444"/>
      <c r="AO21" s="444"/>
      <c r="AP21" s="444"/>
      <c r="AQ21" s="444"/>
      <c r="AR21" s="444"/>
      <c r="AS21" s="444"/>
    </row>
    <row r="22" spans="1:47" ht="6.2" customHeight="1" x14ac:dyDescent="0.2">
      <c r="A22" s="765" t="s">
        <v>10</v>
      </c>
      <c r="B22" s="765"/>
      <c r="C22" s="765"/>
      <c r="D22" s="765"/>
      <c r="F22" s="444"/>
      <c r="G22" s="444"/>
      <c r="H22" s="444"/>
      <c r="I22" s="444"/>
      <c r="J22" s="444"/>
      <c r="K22" s="444"/>
      <c r="L22" s="444"/>
      <c r="M22" s="444"/>
      <c r="N22" s="444"/>
      <c r="O22" s="444"/>
      <c r="P22" s="444"/>
      <c r="Q22" s="444"/>
      <c r="R22" s="444"/>
      <c r="S22" s="444"/>
      <c r="T22" s="444"/>
      <c r="U22" s="444"/>
      <c r="V22" s="444"/>
      <c r="W22" s="444"/>
      <c r="X22" s="444"/>
      <c r="Y22" s="444"/>
      <c r="Z22" s="444"/>
      <c r="AA22" s="444"/>
      <c r="AB22" s="444"/>
      <c r="AC22" s="444"/>
      <c r="AD22" s="444"/>
      <c r="AE22" s="444"/>
      <c r="AF22" s="444"/>
      <c r="AG22" s="444"/>
      <c r="AH22" s="444"/>
      <c r="AI22" s="444"/>
      <c r="AJ22" s="444"/>
      <c r="AK22" s="444"/>
      <c r="AL22" s="444"/>
      <c r="AM22" s="444"/>
      <c r="AN22" s="444"/>
      <c r="AO22" s="444"/>
      <c r="AP22" s="444"/>
      <c r="AQ22" s="444"/>
      <c r="AR22" s="444"/>
      <c r="AS22" s="444"/>
    </row>
    <row r="23" spans="1:47" ht="5.65" customHeight="1" x14ac:dyDescent="0.2">
      <c r="A23" s="765"/>
      <c r="B23" s="765"/>
      <c r="C23" s="765"/>
      <c r="D23" s="765"/>
      <c r="F23" s="444"/>
      <c r="G23" s="444"/>
      <c r="H23" s="444"/>
      <c r="I23" s="444"/>
      <c r="J23" s="444"/>
      <c r="K23" s="444"/>
      <c r="L23" s="444"/>
      <c r="M23" s="444"/>
      <c r="N23" s="444"/>
      <c r="O23" s="444"/>
      <c r="P23" s="444"/>
      <c r="Q23" s="444"/>
      <c r="R23" s="444"/>
      <c r="S23" s="444"/>
      <c r="T23" s="444"/>
      <c r="U23" s="444"/>
      <c r="V23" s="444"/>
      <c r="W23" s="444"/>
      <c r="X23" s="444"/>
      <c r="Y23" s="444"/>
      <c r="Z23" s="444"/>
      <c r="AA23" s="444"/>
      <c r="AB23" s="444"/>
      <c r="AC23" s="444"/>
      <c r="AD23" s="444"/>
      <c r="AE23" s="444"/>
      <c r="AF23" s="444"/>
      <c r="AG23" s="444"/>
      <c r="AH23" s="444"/>
      <c r="AI23" s="444"/>
      <c r="AJ23" s="444"/>
      <c r="AK23" s="444"/>
      <c r="AL23" s="444"/>
      <c r="AM23" s="444"/>
      <c r="AN23" s="444"/>
      <c r="AO23" s="444"/>
      <c r="AP23" s="444"/>
      <c r="AQ23" s="444"/>
      <c r="AR23" s="444"/>
      <c r="AS23" s="444"/>
    </row>
    <row r="24" spans="1:47" ht="6.2" customHeight="1" x14ac:dyDescent="0.2">
      <c r="F24" s="444"/>
      <c r="G24" s="444"/>
      <c r="H24" s="444"/>
      <c r="I24" s="444"/>
      <c r="J24" s="444"/>
      <c r="K24" s="444"/>
      <c r="L24" s="444"/>
      <c r="M24" s="444"/>
      <c r="N24" s="444"/>
      <c r="O24" s="444"/>
      <c r="P24" s="444"/>
      <c r="Q24" s="444"/>
      <c r="R24" s="444"/>
      <c r="S24" s="444"/>
      <c r="T24" s="444"/>
      <c r="U24" s="444"/>
      <c r="V24" s="444"/>
      <c r="W24" s="444"/>
      <c r="X24" s="444"/>
      <c r="Y24" s="444"/>
      <c r="Z24" s="444"/>
      <c r="AA24" s="444"/>
      <c r="AB24" s="444"/>
      <c r="AC24" s="444"/>
      <c r="AD24" s="444"/>
      <c r="AE24" s="444"/>
      <c r="AF24" s="444"/>
      <c r="AG24" s="444"/>
      <c r="AH24" s="444"/>
      <c r="AI24" s="444"/>
      <c r="AJ24" s="444"/>
      <c r="AK24" s="444"/>
      <c r="AL24" s="444"/>
      <c r="AM24" s="444"/>
      <c r="AN24" s="444"/>
      <c r="AO24" s="444"/>
      <c r="AP24" s="444"/>
      <c r="AQ24" s="444"/>
      <c r="AR24" s="444"/>
      <c r="AS24" s="444"/>
    </row>
    <row r="25" spans="1:47" ht="5.65" customHeight="1" x14ac:dyDescent="0.2"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</row>
    <row r="26" spans="1:47" ht="5.65" customHeight="1" x14ac:dyDescent="0.2">
      <c r="E26" s="600"/>
      <c r="F26" s="600"/>
      <c r="G26" s="600"/>
      <c r="H26" s="600"/>
      <c r="I26" s="600"/>
      <c r="J26" s="600"/>
      <c r="K26" s="600"/>
      <c r="L26" s="600"/>
      <c r="M26" s="600"/>
      <c r="Q26" s="276"/>
      <c r="R26" s="276"/>
      <c r="S26" s="276"/>
      <c r="T26" s="276"/>
      <c r="U26" s="276"/>
      <c r="V26" s="276"/>
      <c r="W26" s="276"/>
      <c r="AC26" s="600"/>
      <c r="AD26" s="600"/>
      <c r="AE26" s="600"/>
      <c r="AF26" s="600"/>
      <c r="AG26" s="600"/>
      <c r="AH26" s="600"/>
      <c r="AI26" s="600"/>
      <c r="AJ26" s="600"/>
      <c r="AK26" s="600"/>
      <c r="AO26" s="276"/>
      <c r="AP26" s="276"/>
      <c r="AQ26" s="276"/>
      <c r="AR26" s="276"/>
      <c r="AS26" s="276"/>
      <c r="AT26" s="276"/>
      <c r="AU26" s="13"/>
    </row>
    <row r="27" spans="1:47" ht="5.85" customHeight="1" x14ac:dyDescent="0.2">
      <c r="A27" s="766" t="s">
        <v>18</v>
      </c>
      <c r="B27" s="766"/>
      <c r="C27" s="766"/>
      <c r="D27" s="766"/>
      <c r="E27" s="600"/>
      <c r="F27" s="600"/>
      <c r="G27" s="600"/>
      <c r="H27" s="600"/>
      <c r="I27" s="600"/>
      <c r="J27" s="600"/>
      <c r="K27" s="600"/>
      <c r="L27" s="600"/>
      <c r="M27" s="600"/>
      <c r="O27" s="766" t="s">
        <v>19</v>
      </c>
      <c r="P27" s="766"/>
      <c r="Q27" s="276"/>
      <c r="R27" s="276"/>
      <c r="S27" s="276"/>
      <c r="T27" s="276"/>
      <c r="U27" s="276"/>
      <c r="V27" s="276"/>
      <c r="W27" s="276"/>
      <c r="Y27" s="766" t="s">
        <v>20</v>
      </c>
      <c r="Z27" s="766"/>
      <c r="AA27" s="766"/>
      <c r="AB27" s="766"/>
      <c r="AC27" s="600"/>
      <c r="AD27" s="600"/>
      <c r="AE27" s="600"/>
      <c r="AF27" s="600"/>
      <c r="AG27" s="600"/>
      <c r="AH27" s="600"/>
      <c r="AI27" s="600"/>
      <c r="AJ27" s="600"/>
      <c r="AK27" s="600"/>
      <c r="AM27" s="766" t="s">
        <v>19</v>
      </c>
      <c r="AN27" s="766"/>
      <c r="AO27" s="276"/>
      <c r="AP27" s="276"/>
      <c r="AQ27" s="276"/>
      <c r="AR27" s="276"/>
      <c r="AS27" s="276"/>
      <c r="AT27" s="276"/>
      <c r="AU27" s="13"/>
    </row>
    <row r="28" spans="1:47" ht="5.85" customHeight="1" x14ac:dyDescent="0.2">
      <c r="A28" s="766"/>
      <c r="B28" s="766"/>
      <c r="C28" s="766"/>
      <c r="D28" s="766"/>
      <c r="E28" s="780"/>
      <c r="F28" s="780"/>
      <c r="G28" s="780"/>
      <c r="H28" s="780"/>
      <c r="I28" s="780"/>
      <c r="J28" s="780"/>
      <c r="K28" s="780"/>
      <c r="L28" s="780"/>
      <c r="M28" s="780"/>
      <c r="O28" s="766"/>
      <c r="P28" s="766"/>
      <c r="Q28" s="279"/>
      <c r="R28" s="279"/>
      <c r="S28" s="279"/>
      <c r="T28" s="279"/>
      <c r="U28" s="279"/>
      <c r="V28" s="279"/>
      <c r="W28" s="279"/>
      <c r="Y28" s="766"/>
      <c r="Z28" s="766"/>
      <c r="AA28" s="766"/>
      <c r="AB28" s="766"/>
      <c r="AC28" s="780"/>
      <c r="AD28" s="780"/>
      <c r="AE28" s="780"/>
      <c r="AF28" s="780"/>
      <c r="AG28" s="780"/>
      <c r="AH28" s="780"/>
      <c r="AI28" s="780"/>
      <c r="AJ28" s="780"/>
      <c r="AK28" s="780"/>
      <c r="AM28" s="766"/>
      <c r="AN28" s="766"/>
      <c r="AO28" s="279"/>
      <c r="AP28" s="279"/>
      <c r="AQ28" s="279"/>
      <c r="AR28" s="279"/>
      <c r="AS28" s="279"/>
      <c r="AT28" s="279"/>
      <c r="AU28" s="13"/>
    </row>
    <row r="29" spans="1:47" ht="3" customHeight="1" thickBot="1" x14ac:dyDescent="0.25"/>
    <row r="30" spans="1:47" ht="5.85" customHeight="1" thickTop="1" x14ac:dyDescent="0.2">
      <c r="A30" s="781" t="s">
        <v>21</v>
      </c>
      <c r="B30" s="782"/>
      <c r="C30" s="782"/>
      <c r="D30" s="782"/>
      <c r="E30" s="782"/>
      <c r="F30" s="782"/>
      <c r="G30" s="782"/>
      <c r="H30" s="782"/>
      <c r="I30" s="782"/>
      <c r="J30" s="782"/>
      <c r="K30" s="782"/>
      <c r="L30" s="782"/>
      <c r="M30" s="782"/>
      <c r="N30" s="782"/>
      <c r="O30" s="782"/>
      <c r="P30" s="782"/>
      <c r="Q30" s="782"/>
      <c r="R30" s="782"/>
      <c r="S30" s="782"/>
      <c r="T30" s="782"/>
      <c r="U30" s="782"/>
      <c r="V30" s="782"/>
      <c r="W30" s="783"/>
      <c r="X30" s="781" t="s">
        <v>46</v>
      </c>
      <c r="Y30" s="782"/>
      <c r="Z30" s="782"/>
      <c r="AA30" s="782"/>
      <c r="AB30" s="782"/>
      <c r="AC30" s="782"/>
      <c r="AD30" s="782"/>
      <c r="AE30" s="782"/>
      <c r="AF30" s="782"/>
      <c r="AG30" s="782"/>
      <c r="AH30" s="782"/>
      <c r="AI30" s="782"/>
      <c r="AJ30" s="782"/>
      <c r="AK30" s="782"/>
      <c r="AL30" s="782"/>
      <c r="AM30" s="782"/>
      <c r="AN30" s="782"/>
      <c r="AO30" s="782"/>
      <c r="AP30" s="782"/>
      <c r="AQ30" s="782"/>
      <c r="AR30" s="782"/>
      <c r="AS30" s="782"/>
      <c r="AT30" s="783"/>
    </row>
    <row r="31" spans="1:47" ht="5.85" customHeight="1" x14ac:dyDescent="0.2">
      <c r="A31" s="784"/>
      <c r="B31" s="785"/>
      <c r="C31" s="785"/>
      <c r="D31" s="785"/>
      <c r="E31" s="785"/>
      <c r="F31" s="785"/>
      <c r="G31" s="785"/>
      <c r="H31" s="785"/>
      <c r="I31" s="785"/>
      <c r="J31" s="785"/>
      <c r="K31" s="785"/>
      <c r="L31" s="785"/>
      <c r="M31" s="785"/>
      <c r="N31" s="785"/>
      <c r="O31" s="785"/>
      <c r="P31" s="785"/>
      <c r="Q31" s="785"/>
      <c r="R31" s="785"/>
      <c r="S31" s="785"/>
      <c r="T31" s="785"/>
      <c r="U31" s="785"/>
      <c r="V31" s="785"/>
      <c r="W31" s="786"/>
      <c r="X31" s="784"/>
      <c r="Y31" s="785"/>
      <c r="Z31" s="785"/>
      <c r="AA31" s="785"/>
      <c r="AB31" s="785"/>
      <c r="AC31" s="785"/>
      <c r="AD31" s="785"/>
      <c r="AE31" s="785"/>
      <c r="AF31" s="785"/>
      <c r="AG31" s="785"/>
      <c r="AH31" s="785"/>
      <c r="AI31" s="785"/>
      <c r="AJ31" s="785"/>
      <c r="AK31" s="785"/>
      <c r="AL31" s="785"/>
      <c r="AM31" s="785"/>
      <c r="AN31" s="785"/>
      <c r="AO31" s="785"/>
      <c r="AP31" s="785"/>
      <c r="AQ31" s="785"/>
      <c r="AR31" s="785"/>
      <c r="AS31" s="785"/>
      <c r="AT31" s="786"/>
    </row>
    <row r="32" spans="1:47" ht="5.85" customHeight="1" x14ac:dyDescent="0.2">
      <c r="A32" s="784"/>
      <c r="B32" s="785"/>
      <c r="C32" s="785"/>
      <c r="D32" s="785"/>
      <c r="E32" s="785"/>
      <c r="F32" s="785"/>
      <c r="G32" s="785"/>
      <c r="H32" s="785"/>
      <c r="I32" s="785"/>
      <c r="J32" s="785"/>
      <c r="K32" s="785"/>
      <c r="L32" s="785"/>
      <c r="M32" s="785"/>
      <c r="N32" s="785"/>
      <c r="O32" s="785"/>
      <c r="P32" s="785"/>
      <c r="Q32" s="785"/>
      <c r="R32" s="785"/>
      <c r="S32" s="785"/>
      <c r="T32" s="785"/>
      <c r="U32" s="785"/>
      <c r="V32" s="785"/>
      <c r="W32" s="786"/>
      <c r="X32" s="8"/>
      <c r="Y32" s="755" t="s">
        <v>47</v>
      </c>
      <c r="Z32" s="755"/>
      <c r="AA32" s="755"/>
      <c r="AB32" s="755"/>
      <c r="AC32" s="291" t="str">
        <f>IF(AD50&lt;&gt;"",ROUND(AD50*(AF34/25)^0.121,0),"")</f>
        <v/>
      </c>
      <c r="AD32" s="291"/>
      <c r="AE32" s="291"/>
      <c r="AF32" s="291"/>
      <c r="AG32" s="291"/>
      <c r="AH32" s="291"/>
      <c r="AI32" s="8"/>
      <c r="AJ32" s="8"/>
      <c r="AK32" s="755" t="s">
        <v>48</v>
      </c>
      <c r="AL32" s="755"/>
      <c r="AM32" s="755"/>
      <c r="AN32" s="755"/>
      <c r="AO32" s="646" t="str">
        <f>AP46</f>
        <v/>
      </c>
      <c r="AP32" s="291"/>
      <c r="AQ32" s="291"/>
      <c r="AR32" s="291"/>
      <c r="AS32" s="291"/>
      <c r="AT32" s="19"/>
    </row>
    <row r="33" spans="1:46" ht="5.85" customHeight="1" x14ac:dyDescent="0.2">
      <c r="A33" s="787"/>
      <c r="B33" s="788"/>
      <c r="C33" s="788"/>
      <c r="D33" s="788"/>
      <c r="E33" s="788"/>
      <c r="F33" s="788"/>
      <c r="G33" s="788"/>
      <c r="H33" s="788"/>
      <c r="I33" s="788"/>
      <c r="J33" s="788"/>
      <c r="K33" s="788"/>
      <c r="L33" s="788"/>
      <c r="M33" s="788"/>
      <c r="N33" s="788"/>
      <c r="O33" s="788"/>
      <c r="P33" s="788"/>
      <c r="Q33" s="788"/>
      <c r="R33" s="788"/>
      <c r="S33" s="788"/>
      <c r="T33" s="788"/>
      <c r="U33" s="788"/>
      <c r="V33" s="788"/>
      <c r="W33" s="789"/>
      <c r="X33" s="8"/>
      <c r="Y33" s="755"/>
      <c r="Z33" s="755"/>
      <c r="AA33" s="755"/>
      <c r="AB33" s="755"/>
      <c r="AC33" s="321"/>
      <c r="AD33" s="321"/>
      <c r="AE33" s="321"/>
      <c r="AF33" s="321"/>
      <c r="AG33" s="321"/>
      <c r="AH33" s="321"/>
      <c r="AI33" s="8"/>
      <c r="AJ33" s="8"/>
      <c r="AK33" s="755"/>
      <c r="AL33" s="755"/>
      <c r="AM33" s="755"/>
      <c r="AN33" s="755"/>
      <c r="AO33" s="321"/>
      <c r="AP33" s="321"/>
      <c r="AQ33" s="321"/>
      <c r="AR33" s="321"/>
      <c r="AS33" s="321"/>
      <c r="AT33" s="19"/>
    </row>
    <row r="34" spans="1:46" ht="5.85" customHeight="1" x14ac:dyDescent="0.2">
      <c r="A34" s="799" t="s">
        <v>22</v>
      </c>
      <c r="B34" s="800"/>
      <c r="C34" s="800"/>
      <c r="D34" s="800"/>
      <c r="E34" s="349"/>
      <c r="F34" s="8"/>
      <c r="G34" s="753" t="s">
        <v>23</v>
      </c>
      <c r="H34" s="753"/>
      <c r="I34" s="753"/>
      <c r="J34" s="753"/>
      <c r="K34" s="753"/>
      <c r="L34" s="753"/>
      <c r="M34" s="753"/>
      <c r="N34" s="272"/>
      <c r="O34" s="272"/>
      <c r="P34" s="272"/>
      <c r="Q34" s="753" t="s">
        <v>598</v>
      </c>
      <c r="R34" s="753"/>
      <c r="S34" s="753"/>
      <c r="T34" s="753"/>
      <c r="U34" s="281"/>
      <c r="V34" s="281"/>
      <c r="W34" s="19"/>
      <c r="X34" s="803" t="s">
        <v>49</v>
      </c>
      <c r="Y34" s="804"/>
      <c r="Z34" s="804"/>
      <c r="AA34" s="804"/>
      <c r="AB34" s="25"/>
      <c r="AC34" s="25"/>
      <c r="AD34" s="25"/>
      <c r="AE34" s="8"/>
      <c r="AF34" s="276"/>
      <c r="AG34" s="276"/>
      <c r="AH34" s="276"/>
      <c r="AI34" s="8"/>
      <c r="AJ34" s="804" t="s">
        <v>50</v>
      </c>
      <c r="AK34" s="804"/>
      <c r="AL34" s="804"/>
      <c r="AM34" s="804"/>
      <c r="AN34" s="804"/>
      <c r="AO34" s="804"/>
      <c r="AP34" s="804"/>
      <c r="AQ34" s="8"/>
      <c r="AR34" s="711"/>
      <c r="AS34" s="711"/>
      <c r="AT34" s="822"/>
    </row>
    <row r="35" spans="1:46" ht="5.85" customHeight="1" x14ac:dyDescent="0.2">
      <c r="A35" s="799"/>
      <c r="B35" s="800"/>
      <c r="C35" s="800"/>
      <c r="D35" s="800"/>
      <c r="E35" s="394"/>
      <c r="F35" s="8"/>
      <c r="G35" s="755"/>
      <c r="H35" s="755"/>
      <c r="I35" s="755"/>
      <c r="J35" s="755"/>
      <c r="K35" s="755"/>
      <c r="L35" s="755"/>
      <c r="M35" s="755"/>
      <c r="N35" s="13"/>
      <c r="O35" s="13"/>
      <c r="P35" s="13"/>
      <c r="Q35" s="755"/>
      <c r="R35" s="755"/>
      <c r="S35" s="755"/>
      <c r="T35" s="755"/>
      <c r="U35" s="276"/>
      <c r="V35" s="276"/>
      <c r="W35" s="19"/>
      <c r="X35" s="803"/>
      <c r="Y35" s="804"/>
      <c r="Z35" s="804"/>
      <c r="AA35" s="804"/>
      <c r="AB35" s="2"/>
      <c r="AC35" s="2"/>
      <c r="AD35" s="2"/>
      <c r="AF35" s="279"/>
      <c r="AG35" s="279"/>
      <c r="AH35" s="279"/>
      <c r="AJ35" s="804"/>
      <c r="AK35" s="804"/>
      <c r="AL35" s="804"/>
      <c r="AM35" s="804"/>
      <c r="AN35" s="804"/>
      <c r="AO35" s="804"/>
      <c r="AP35" s="804"/>
      <c r="AQ35" s="8"/>
      <c r="AR35" s="712"/>
      <c r="AS35" s="712"/>
      <c r="AT35" s="821"/>
    </row>
    <row r="36" spans="1:46" ht="5.85" customHeight="1" x14ac:dyDescent="0.2">
      <c r="A36" s="801"/>
      <c r="B36" s="802"/>
      <c r="C36" s="802"/>
      <c r="D36" s="802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24"/>
      <c r="X36" s="803" t="s">
        <v>50</v>
      </c>
      <c r="Y36" s="804"/>
      <c r="Z36" s="804"/>
      <c r="AA36" s="804"/>
      <c r="AB36" s="804"/>
      <c r="AC36" s="804"/>
      <c r="AD36" s="804"/>
      <c r="AF36" s="797"/>
      <c r="AG36" s="797"/>
      <c r="AH36" s="797"/>
      <c r="AJ36" s="804" t="s">
        <v>51</v>
      </c>
      <c r="AK36" s="804"/>
      <c r="AL36" s="804"/>
      <c r="AM36" s="804"/>
      <c r="AN36" s="804"/>
      <c r="AO36" s="804"/>
      <c r="AP36" s="804"/>
      <c r="AQ36" s="8"/>
      <c r="AR36" s="797"/>
      <c r="AS36" s="797"/>
      <c r="AT36" s="820"/>
    </row>
    <row r="37" spans="1:46" ht="6.6" customHeight="1" x14ac:dyDescent="0.2">
      <c r="A37" s="760" t="s">
        <v>24</v>
      </c>
      <c r="B37" s="753"/>
      <c r="C37" s="753"/>
      <c r="D37" s="753"/>
      <c r="E37" s="753"/>
      <c r="F37" s="753"/>
      <c r="G37" s="791" t="s">
        <v>27</v>
      </c>
      <c r="H37" s="791"/>
      <c r="I37" s="791"/>
      <c r="J37" s="791"/>
      <c r="K37" s="791"/>
      <c r="L37" s="793" t="s">
        <v>28</v>
      </c>
      <c r="M37" s="793"/>
      <c r="N37" s="793"/>
      <c r="O37" s="793"/>
      <c r="P37" s="793" t="s">
        <v>29</v>
      </c>
      <c r="Q37" s="793"/>
      <c r="R37" s="793"/>
      <c r="S37" s="793"/>
      <c r="T37" s="793" t="s">
        <v>30</v>
      </c>
      <c r="U37" s="793"/>
      <c r="V37" s="793"/>
      <c r="W37" s="794"/>
      <c r="X37" s="803"/>
      <c r="Y37" s="804"/>
      <c r="Z37" s="804"/>
      <c r="AA37" s="804"/>
      <c r="AB37" s="804"/>
      <c r="AC37" s="804"/>
      <c r="AD37" s="804"/>
      <c r="AF37" s="712"/>
      <c r="AG37" s="712"/>
      <c r="AH37" s="712"/>
      <c r="AJ37" s="804"/>
      <c r="AK37" s="804"/>
      <c r="AL37" s="804"/>
      <c r="AM37" s="804"/>
      <c r="AN37" s="804"/>
      <c r="AO37" s="804"/>
      <c r="AP37" s="804"/>
      <c r="AQ37" s="8"/>
      <c r="AR37" s="712"/>
      <c r="AS37" s="712"/>
      <c r="AT37" s="821"/>
    </row>
    <row r="38" spans="1:46" ht="6.6" customHeight="1" x14ac:dyDescent="0.2">
      <c r="A38" s="761"/>
      <c r="B38" s="755"/>
      <c r="C38" s="755"/>
      <c r="D38" s="755"/>
      <c r="E38" s="755"/>
      <c r="F38" s="755"/>
      <c r="G38" s="792"/>
      <c r="H38" s="792"/>
      <c r="I38" s="792"/>
      <c r="J38" s="792"/>
      <c r="K38" s="792"/>
      <c r="L38" s="795"/>
      <c r="M38" s="795"/>
      <c r="N38" s="795"/>
      <c r="O38" s="795"/>
      <c r="P38" s="795"/>
      <c r="Q38" s="795"/>
      <c r="R38" s="795"/>
      <c r="S38" s="795"/>
      <c r="T38" s="795"/>
      <c r="U38" s="795"/>
      <c r="V38" s="795"/>
      <c r="W38" s="796"/>
      <c r="X38" s="803" t="s">
        <v>51</v>
      </c>
      <c r="Y38" s="804"/>
      <c r="Z38" s="804"/>
      <c r="AA38" s="804"/>
      <c r="AB38" s="804"/>
      <c r="AC38" s="804"/>
      <c r="AD38" s="804"/>
      <c r="AE38" s="8"/>
      <c r="AF38" s="797"/>
      <c r="AG38" s="797"/>
      <c r="AH38" s="797"/>
      <c r="AI38" s="8"/>
      <c r="AJ38" s="804" t="s">
        <v>52</v>
      </c>
      <c r="AK38" s="804"/>
      <c r="AL38" s="804"/>
      <c r="AM38" s="804"/>
      <c r="AN38" s="25"/>
      <c r="AO38" s="25"/>
      <c r="AP38" s="25"/>
      <c r="AQ38" s="8"/>
      <c r="AR38" s="798" t="str">
        <f>IF(AR34&gt;0,AR34-AR36,"")</f>
        <v/>
      </c>
      <c r="AS38" s="386"/>
      <c r="AT38" s="831"/>
    </row>
    <row r="39" spans="1:46" ht="6.6" customHeight="1" x14ac:dyDescent="0.2">
      <c r="A39" s="761" t="s">
        <v>25</v>
      </c>
      <c r="B39" s="755"/>
      <c r="C39" s="755"/>
      <c r="D39" s="755" t="s">
        <v>26</v>
      </c>
      <c r="E39" s="755"/>
      <c r="F39" s="755"/>
      <c r="G39" s="792"/>
      <c r="H39" s="792"/>
      <c r="I39" s="792"/>
      <c r="J39" s="792"/>
      <c r="K39" s="792"/>
      <c r="L39" s="795"/>
      <c r="M39" s="795"/>
      <c r="N39" s="795"/>
      <c r="O39" s="795"/>
      <c r="P39" s="795"/>
      <c r="Q39" s="795"/>
      <c r="R39" s="795"/>
      <c r="S39" s="795"/>
      <c r="T39" s="795"/>
      <c r="U39" s="795"/>
      <c r="V39" s="795"/>
      <c r="W39" s="796"/>
      <c r="X39" s="803"/>
      <c r="Y39" s="804"/>
      <c r="Z39" s="804"/>
      <c r="AA39" s="804"/>
      <c r="AB39" s="804"/>
      <c r="AC39" s="804"/>
      <c r="AD39" s="804"/>
      <c r="AE39" s="8"/>
      <c r="AF39" s="712"/>
      <c r="AG39" s="712"/>
      <c r="AH39" s="712"/>
      <c r="AI39" s="8"/>
      <c r="AJ39" s="804"/>
      <c r="AK39" s="804"/>
      <c r="AL39" s="804"/>
      <c r="AM39" s="804"/>
      <c r="AN39" s="25"/>
      <c r="AO39" s="25"/>
      <c r="AP39" s="25"/>
      <c r="AQ39" s="8"/>
      <c r="AR39" s="321"/>
      <c r="AS39" s="321"/>
      <c r="AT39" s="832"/>
    </row>
    <row r="40" spans="1:46" ht="6.6" customHeight="1" x14ac:dyDescent="0.2">
      <c r="A40" s="761"/>
      <c r="B40" s="755"/>
      <c r="C40" s="755"/>
      <c r="D40" s="755"/>
      <c r="E40" s="755"/>
      <c r="F40" s="755"/>
      <c r="G40" s="792"/>
      <c r="H40" s="792"/>
      <c r="I40" s="792"/>
      <c r="J40" s="792"/>
      <c r="K40" s="792"/>
      <c r="L40" s="795"/>
      <c r="M40" s="795"/>
      <c r="N40" s="795"/>
      <c r="O40" s="795"/>
      <c r="P40" s="795"/>
      <c r="Q40" s="795"/>
      <c r="R40" s="795"/>
      <c r="S40" s="795"/>
      <c r="T40" s="795"/>
      <c r="U40" s="795"/>
      <c r="V40" s="795"/>
      <c r="W40" s="796"/>
      <c r="X40" s="803" t="s">
        <v>52</v>
      </c>
      <c r="Y40" s="804"/>
      <c r="Z40" s="804"/>
      <c r="AA40" s="804"/>
      <c r="AB40" s="25"/>
      <c r="AC40" s="25"/>
      <c r="AD40" s="25"/>
      <c r="AE40" s="8"/>
      <c r="AF40" s="798" t="str">
        <f>IF(AF36&gt;0,AF36-AF38,"")</f>
        <v/>
      </c>
      <c r="AG40" s="386"/>
      <c r="AH40" s="386"/>
      <c r="AI40" s="8"/>
      <c r="AJ40" s="804" t="s">
        <v>54</v>
      </c>
      <c r="AK40" s="804"/>
      <c r="AL40" s="804"/>
      <c r="AM40" s="25"/>
      <c r="AN40" s="25"/>
      <c r="AO40" s="25"/>
      <c r="AP40" s="25"/>
      <c r="AQ40" s="8"/>
      <c r="AR40" s="797"/>
      <c r="AS40" s="281"/>
      <c r="AT40" s="859"/>
    </row>
    <row r="41" spans="1:46" ht="6.6" customHeight="1" x14ac:dyDescent="0.2">
      <c r="A41" s="776">
        <v>63</v>
      </c>
      <c r="B41" s="777"/>
      <c r="C41" s="777"/>
      <c r="D41" s="790">
        <v>2.5</v>
      </c>
      <c r="E41" s="767"/>
      <c r="F41" s="768"/>
      <c r="G41" s="388"/>
      <c r="H41" s="388"/>
      <c r="I41" s="388"/>
      <c r="J41" s="388"/>
      <c r="K41" s="388"/>
      <c r="L41" s="778" t="str">
        <f>IFERROR(G41/($G$68)*100,"")</f>
        <v/>
      </c>
      <c r="M41" s="778"/>
      <c r="N41" s="778"/>
      <c r="O41" s="778"/>
      <c r="P41" s="769" t="str">
        <f>L41</f>
        <v/>
      </c>
      <c r="Q41" s="770"/>
      <c r="R41" s="770"/>
      <c r="S41" s="771"/>
      <c r="T41" s="778" t="str">
        <f>IFERROR(100-P41,"")</f>
        <v/>
      </c>
      <c r="U41" s="778"/>
      <c r="V41" s="778"/>
      <c r="W41" s="779"/>
      <c r="X41" s="803"/>
      <c r="Y41" s="804"/>
      <c r="Z41" s="804"/>
      <c r="AA41" s="804"/>
      <c r="AB41" s="25"/>
      <c r="AC41" s="25"/>
      <c r="AD41" s="25"/>
      <c r="AE41" s="8"/>
      <c r="AF41" s="321"/>
      <c r="AG41" s="321"/>
      <c r="AH41" s="321"/>
      <c r="AI41" s="8"/>
      <c r="AJ41" s="804"/>
      <c r="AK41" s="804"/>
      <c r="AL41" s="804"/>
      <c r="AM41" s="25"/>
      <c r="AN41" s="25"/>
      <c r="AO41" s="25"/>
      <c r="AP41" s="25"/>
      <c r="AQ41" s="8"/>
      <c r="AR41" s="279"/>
      <c r="AS41" s="279"/>
      <c r="AT41" s="860"/>
    </row>
    <row r="42" spans="1:46" ht="6.6" customHeight="1" x14ac:dyDescent="0.2">
      <c r="A42" s="776"/>
      <c r="B42" s="777"/>
      <c r="C42" s="777"/>
      <c r="D42" s="767"/>
      <c r="E42" s="767"/>
      <c r="F42" s="768"/>
      <c r="G42" s="388"/>
      <c r="H42" s="388"/>
      <c r="I42" s="388"/>
      <c r="J42" s="388"/>
      <c r="K42" s="388"/>
      <c r="L42" s="778"/>
      <c r="M42" s="778"/>
      <c r="N42" s="778"/>
      <c r="O42" s="778"/>
      <c r="P42" s="772"/>
      <c r="Q42" s="773"/>
      <c r="R42" s="773"/>
      <c r="S42" s="774"/>
      <c r="T42" s="778"/>
      <c r="U42" s="778"/>
      <c r="V42" s="778"/>
      <c r="W42" s="779"/>
      <c r="X42" s="803" t="s">
        <v>53</v>
      </c>
      <c r="Y42" s="804"/>
      <c r="Z42" s="804"/>
      <c r="AA42" s="25"/>
      <c r="AB42" s="25"/>
      <c r="AC42" s="25"/>
      <c r="AD42" s="25"/>
      <c r="AE42" s="8"/>
      <c r="AF42" s="386" t="str">
        <f>IF(AF34&gt;0, ROUND((AF34/25)^0.121,4), "")</f>
        <v/>
      </c>
      <c r="AG42" s="386"/>
      <c r="AH42" s="386"/>
      <c r="AI42" s="8"/>
      <c r="AJ42" s="804" t="s">
        <v>55</v>
      </c>
      <c r="AK42" s="804"/>
      <c r="AL42" s="804"/>
      <c r="AM42" s="804"/>
      <c r="AN42" s="25"/>
      <c r="AO42" s="25"/>
      <c r="AP42" s="25"/>
      <c r="AQ42" s="8"/>
      <c r="AR42" s="797"/>
      <c r="AS42" s="797"/>
      <c r="AT42" s="820"/>
    </row>
    <row r="43" spans="1:46" ht="6.6" customHeight="1" x14ac:dyDescent="0.2">
      <c r="A43" s="776">
        <v>50</v>
      </c>
      <c r="B43" s="777"/>
      <c r="C43" s="777"/>
      <c r="D43" s="767">
        <v>2</v>
      </c>
      <c r="E43" s="767"/>
      <c r="F43" s="768"/>
      <c r="G43" s="388"/>
      <c r="H43" s="388"/>
      <c r="I43" s="388"/>
      <c r="J43" s="388"/>
      <c r="K43" s="388"/>
      <c r="L43" s="769" t="str">
        <f>IFERROR(G43/($G$68)*100,"")</f>
        <v/>
      </c>
      <c r="M43" s="770"/>
      <c r="N43" s="770"/>
      <c r="O43" s="771"/>
      <c r="P43" s="769" t="str">
        <f>IFERROR(P41+L43,"")</f>
        <v/>
      </c>
      <c r="Q43" s="770"/>
      <c r="R43" s="770"/>
      <c r="S43" s="771"/>
      <c r="T43" s="778" t="str">
        <f>IFERROR(100-P43,"")</f>
        <v/>
      </c>
      <c r="U43" s="778"/>
      <c r="V43" s="778"/>
      <c r="W43" s="779"/>
      <c r="X43" s="803"/>
      <c r="Y43" s="804"/>
      <c r="Z43" s="804"/>
      <c r="AA43" s="25"/>
      <c r="AB43" s="25"/>
      <c r="AC43" s="25"/>
      <c r="AD43" s="25"/>
      <c r="AE43" s="8"/>
      <c r="AF43" s="321"/>
      <c r="AG43" s="321"/>
      <c r="AH43" s="321"/>
      <c r="AI43" s="8"/>
      <c r="AJ43" s="804"/>
      <c r="AK43" s="804"/>
      <c r="AL43" s="804"/>
      <c r="AM43" s="804"/>
      <c r="AN43" s="25"/>
      <c r="AO43" s="25"/>
      <c r="AP43" s="25"/>
      <c r="AQ43" s="8"/>
      <c r="AR43" s="712"/>
      <c r="AS43" s="712"/>
      <c r="AT43" s="821"/>
    </row>
    <row r="44" spans="1:46" ht="6.6" customHeight="1" x14ac:dyDescent="0.2">
      <c r="A44" s="776"/>
      <c r="B44" s="777"/>
      <c r="C44" s="777"/>
      <c r="D44" s="767"/>
      <c r="E44" s="767"/>
      <c r="F44" s="768"/>
      <c r="G44" s="388"/>
      <c r="H44" s="388"/>
      <c r="I44" s="388"/>
      <c r="J44" s="388"/>
      <c r="K44" s="388"/>
      <c r="L44" s="772"/>
      <c r="M44" s="773"/>
      <c r="N44" s="773"/>
      <c r="O44" s="774"/>
      <c r="P44" s="772"/>
      <c r="Q44" s="773"/>
      <c r="R44" s="773"/>
      <c r="S44" s="774"/>
      <c r="T44" s="778"/>
      <c r="U44" s="778"/>
      <c r="V44" s="778"/>
      <c r="W44" s="779"/>
      <c r="X44" s="803" t="s">
        <v>54</v>
      </c>
      <c r="Y44" s="804"/>
      <c r="Z44" s="804"/>
      <c r="AA44" s="25"/>
      <c r="AB44" s="25"/>
      <c r="AC44" s="25"/>
      <c r="AD44" s="25"/>
      <c r="AE44" s="8"/>
      <c r="AF44" s="281"/>
      <c r="AG44" s="281"/>
      <c r="AH44" s="281"/>
      <c r="AI44" s="8"/>
      <c r="AJ44" s="804" t="s">
        <v>56</v>
      </c>
      <c r="AK44" s="804"/>
      <c r="AL44" s="804"/>
      <c r="AM44" s="804"/>
      <c r="AN44" s="804"/>
      <c r="AO44" s="25"/>
      <c r="AP44" s="65"/>
      <c r="AQ44" s="64"/>
      <c r="AR44" s="386" t="str">
        <f>IF(AR36&gt;0,AR36-AR42,"")</f>
        <v/>
      </c>
      <c r="AS44" s="386"/>
      <c r="AT44" s="831"/>
    </row>
    <row r="45" spans="1:46" ht="6.6" customHeight="1" x14ac:dyDescent="0.2">
      <c r="A45" s="776">
        <v>37.5</v>
      </c>
      <c r="B45" s="777"/>
      <c r="C45" s="777"/>
      <c r="D45" s="790">
        <v>1.5</v>
      </c>
      <c r="E45" s="767"/>
      <c r="F45" s="768"/>
      <c r="G45" s="388"/>
      <c r="H45" s="388"/>
      <c r="I45" s="388"/>
      <c r="J45" s="388"/>
      <c r="K45" s="388"/>
      <c r="L45" s="769" t="str">
        <f>IFERROR(G45/($G$68)*100,"")</f>
        <v/>
      </c>
      <c r="M45" s="770"/>
      <c r="N45" s="770"/>
      <c r="O45" s="771"/>
      <c r="P45" s="769" t="str">
        <f>IFERROR(P43+L45,"")</f>
        <v/>
      </c>
      <c r="Q45" s="770"/>
      <c r="R45" s="770"/>
      <c r="S45" s="771"/>
      <c r="T45" s="778" t="str">
        <f>IFERROR(100-P45,"")</f>
        <v/>
      </c>
      <c r="U45" s="778"/>
      <c r="V45" s="778"/>
      <c r="W45" s="779"/>
      <c r="X45" s="803"/>
      <c r="Y45" s="804"/>
      <c r="Z45" s="804"/>
      <c r="AA45" s="25"/>
      <c r="AB45" s="25"/>
      <c r="AC45" s="25"/>
      <c r="AD45" s="25"/>
      <c r="AE45" s="8"/>
      <c r="AF45" s="279"/>
      <c r="AG45" s="279"/>
      <c r="AH45" s="279"/>
      <c r="AI45" s="8"/>
      <c r="AJ45" s="804"/>
      <c r="AK45" s="804"/>
      <c r="AL45" s="804"/>
      <c r="AM45" s="804"/>
      <c r="AN45" s="804"/>
      <c r="AO45" s="25"/>
      <c r="AP45" s="65"/>
      <c r="AQ45" s="64"/>
      <c r="AR45" s="321"/>
      <c r="AS45" s="321"/>
      <c r="AT45" s="832"/>
    </row>
    <row r="46" spans="1:46" ht="6.6" customHeight="1" x14ac:dyDescent="0.2">
      <c r="A46" s="776"/>
      <c r="B46" s="777"/>
      <c r="C46" s="777"/>
      <c r="D46" s="767"/>
      <c r="E46" s="767"/>
      <c r="F46" s="768"/>
      <c r="G46" s="388"/>
      <c r="H46" s="388"/>
      <c r="I46" s="388"/>
      <c r="J46" s="388"/>
      <c r="K46" s="388"/>
      <c r="L46" s="772"/>
      <c r="M46" s="773"/>
      <c r="N46" s="773"/>
      <c r="O46" s="774"/>
      <c r="P46" s="772"/>
      <c r="Q46" s="773"/>
      <c r="R46" s="773"/>
      <c r="S46" s="774"/>
      <c r="T46" s="778"/>
      <c r="U46" s="778"/>
      <c r="V46" s="778"/>
      <c r="W46" s="779"/>
      <c r="X46" s="803" t="s">
        <v>55</v>
      </c>
      <c r="Y46" s="804"/>
      <c r="Z46" s="804"/>
      <c r="AA46" s="804"/>
      <c r="AB46" s="25"/>
      <c r="AC46" s="25"/>
      <c r="AD46" s="25"/>
      <c r="AE46" s="8"/>
      <c r="AF46" s="797"/>
      <c r="AG46" s="797"/>
      <c r="AH46" s="797"/>
      <c r="AI46" s="8"/>
      <c r="AJ46" s="804" t="s">
        <v>57</v>
      </c>
      <c r="AK46" s="804"/>
      <c r="AL46" s="804"/>
      <c r="AM46" s="804"/>
      <c r="AN46" s="25"/>
      <c r="AO46" s="25"/>
      <c r="AP46" s="646" t="str">
        <f>IF(AR38&lt;&gt;"",ROUND(AR38/AR44*100,1),"")</f>
        <v/>
      </c>
      <c r="AQ46" s="646"/>
      <c r="AR46" s="646"/>
      <c r="AS46" s="646"/>
      <c r="AT46" s="861"/>
    </row>
    <row r="47" spans="1:46" ht="6.6" customHeight="1" x14ac:dyDescent="0.2">
      <c r="A47" s="776">
        <v>31.5</v>
      </c>
      <c r="B47" s="777"/>
      <c r="C47" s="777"/>
      <c r="D47" s="790">
        <v>1.25</v>
      </c>
      <c r="E47" s="767"/>
      <c r="F47" s="768"/>
      <c r="G47" s="388"/>
      <c r="H47" s="388"/>
      <c r="I47" s="388"/>
      <c r="J47" s="388"/>
      <c r="K47" s="388"/>
      <c r="L47" s="769" t="str">
        <f>IFERROR(G47/($G$68)*100,"")</f>
        <v/>
      </c>
      <c r="M47" s="770"/>
      <c r="N47" s="770"/>
      <c r="O47" s="771"/>
      <c r="P47" s="769" t="str">
        <f>IFERROR(P45+L47,"")</f>
        <v/>
      </c>
      <c r="Q47" s="770"/>
      <c r="R47" s="770"/>
      <c r="S47" s="771"/>
      <c r="T47" s="778" t="str">
        <f>IFERROR(100-P47,"")</f>
        <v/>
      </c>
      <c r="U47" s="778"/>
      <c r="V47" s="778"/>
      <c r="W47" s="779"/>
      <c r="X47" s="803"/>
      <c r="Y47" s="804"/>
      <c r="Z47" s="804"/>
      <c r="AA47" s="804"/>
      <c r="AB47" s="25"/>
      <c r="AC47" s="25"/>
      <c r="AD47" s="25"/>
      <c r="AE47" s="8"/>
      <c r="AF47" s="712"/>
      <c r="AG47" s="712"/>
      <c r="AH47" s="712"/>
      <c r="AI47" s="8"/>
      <c r="AJ47" s="804"/>
      <c r="AK47" s="804"/>
      <c r="AL47" s="804"/>
      <c r="AM47" s="804"/>
      <c r="AN47" s="25"/>
      <c r="AO47" s="25"/>
      <c r="AP47" s="647"/>
      <c r="AQ47" s="647"/>
      <c r="AR47" s="647"/>
      <c r="AS47" s="647"/>
      <c r="AT47" s="862"/>
    </row>
    <row r="48" spans="1:46" ht="6.6" customHeight="1" x14ac:dyDescent="0.2">
      <c r="A48" s="776"/>
      <c r="B48" s="777"/>
      <c r="C48" s="777"/>
      <c r="D48" s="767"/>
      <c r="E48" s="767"/>
      <c r="F48" s="768"/>
      <c r="G48" s="388"/>
      <c r="H48" s="388"/>
      <c r="I48" s="388"/>
      <c r="J48" s="388"/>
      <c r="K48" s="388"/>
      <c r="L48" s="772"/>
      <c r="M48" s="773"/>
      <c r="N48" s="773"/>
      <c r="O48" s="774"/>
      <c r="P48" s="772"/>
      <c r="Q48" s="773"/>
      <c r="R48" s="773"/>
      <c r="S48" s="774"/>
      <c r="T48" s="778"/>
      <c r="U48" s="778"/>
      <c r="V48" s="778"/>
      <c r="W48" s="779"/>
      <c r="X48" s="803" t="s">
        <v>56</v>
      </c>
      <c r="Y48" s="804"/>
      <c r="Z48" s="804"/>
      <c r="AA48" s="804"/>
      <c r="AB48" s="804"/>
      <c r="AC48" s="25"/>
      <c r="AD48" s="65"/>
      <c r="AE48" s="64"/>
      <c r="AF48" s="386" t="str">
        <f>IF(AF38&gt;0,AF38-AF46,"")</f>
        <v/>
      </c>
      <c r="AG48" s="386"/>
      <c r="AH48" s="386"/>
      <c r="AI48" s="8"/>
      <c r="AT48" s="19"/>
    </row>
    <row r="49" spans="1:46" ht="6.6" customHeight="1" x14ac:dyDescent="0.2">
      <c r="A49" s="776">
        <v>25</v>
      </c>
      <c r="B49" s="777"/>
      <c r="C49" s="777"/>
      <c r="D49" s="767">
        <v>1</v>
      </c>
      <c r="E49" s="767"/>
      <c r="F49" s="768"/>
      <c r="G49" s="388"/>
      <c r="H49" s="388"/>
      <c r="I49" s="388"/>
      <c r="J49" s="388"/>
      <c r="K49" s="388"/>
      <c r="L49" s="778" t="str">
        <f>IFERROR(G49/($G$68)*100,"")</f>
        <v/>
      </c>
      <c r="M49" s="778"/>
      <c r="N49" s="778"/>
      <c r="O49" s="778"/>
      <c r="P49" s="769" t="str">
        <f>IFERROR(P47+L49,"")</f>
        <v/>
      </c>
      <c r="Q49" s="770"/>
      <c r="R49" s="770"/>
      <c r="S49" s="771"/>
      <c r="T49" s="778" t="str">
        <f>IFERROR(100-P49,"")</f>
        <v/>
      </c>
      <c r="U49" s="778"/>
      <c r="V49" s="778"/>
      <c r="W49" s="779"/>
      <c r="X49" s="803"/>
      <c r="Y49" s="804"/>
      <c r="Z49" s="804"/>
      <c r="AA49" s="804"/>
      <c r="AB49" s="804"/>
      <c r="AC49" s="25"/>
      <c r="AD49" s="65"/>
      <c r="AE49" s="64"/>
      <c r="AF49" s="321"/>
      <c r="AG49" s="321"/>
      <c r="AH49" s="321"/>
      <c r="AI49" s="8"/>
      <c r="AM49" s="8"/>
      <c r="AN49" s="8"/>
      <c r="AO49" s="8"/>
      <c r="AP49" s="8"/>
      <c r="AQ49" s="8"/>
      <c r="AR49" s="8"/>
      <c r="AS49" s="8"/>
      <c r="AT49" s="19"/>
    </row>
    <row r="50" spans="1:46" ht="6.6" customHeight="1" x14ac:dyDescent="0.2">
      <c r="A50" s="776"/>
      <c r="B50" s="777"/>
      <c r="C50" s="777"/>
      <c r="D50" s="767"/>
      <c r="E50" s="767"/>
      <c r="F50" s="768"/>
      <c r="G50" s="388"/>
      <c r="H50" s="388"/>
      <c r="I50" s="388"/>
      <c r="J50" s="388"/>
      <c r="K50" s="388"/>
      <c r="L50" s="778"/>
      <c r="M50" s="778"/>
      <c r="N50" s="778"/>
      <c r="O50" s="778"/>
      <c r="P50" s="772"/>
      <c r="Q50" s="773"/>
      <c r="R50" s="773"/>
      <c r="S50" s="774"/>
      <c r="T50" s="778"/>
      <c r="U50" s="778"/>
      <c r="V50" s="778"/>
      <c r="W50" s="779"/>
      <c r="X50" s="803" t="s">
        <v>57</v>
      </c>
      <c r="Y50" s="804"/>
      <c r="Z50" s="804"/>
      <c r="AA50" s="804"/>
      <c r="AB50" s="25"/>
      <c r="AC50" s="25"/>
      <c r="AD50" s="646" t="str">
        <f>IF(AF48 &lt;&gt; "",ROUND(AF40/AF48*100,1),"")</f>
        <v/>
      </c>
      <c r="AE50" s="646"/>
      <c r="AF50" s="646"/>
      <c r="AG50" s="646"/>
      <c r="AH50" s="646"/>
      <c r="AI50" s="8"/>
      <c r="AJ50" s="807" t="s">
        <v>58</v>
      </c>
      <c r="AK50" s="807"/>
      <c r="AL50" s="807"/>
      <c r="AM50" s="807"/>
      <c r="AN50" s="807"/>
      <c r="AO50" s="807"/>
      <c r="AP50" s="291" t="str">
        <f>IF(AC32&lt;&gt;"",IF(AC32&gt;AO32,ROUND(AC32-AO32,0),"NP"),"")</f>
        <v/>
      </c>
      <c r="AQ50" s="291"/>
      <c r="AR50" s="291"/>
      <c r="AS50" s="291"/>
      <c r="AT50" s="19"/>
    </row>
    <row r="51" spans="1:46" ht="6.6" customHeight="1" x14ac:dyDescent="0.2">
      <c r="A51" s="776">
        <v>19</v>
      </c>
      <c r="B51" s="777"/>
      <c r="C51" s="777"/>
      <c r="D51" s="805" t="s">
        <v>32</v>
      </c>
      <c r="E51" s="805"/>
      <c r="F51" s="806"/>
      <c r="G51" s="388"/>
      <c r="H51" s="388"/>
      <c r="I51" s="388"/>
      <c r="J51" s="388"/>
      <c r="K51" s="388"/>
      <c r="L51" s="778" t="str">
        <f>IFERROR(G51/($G$68)*100,"")</f>
        <v/>
      </c>
      <c r="M51" s="778"/>
      <c r="N51" s="778"/>
      <c r="O51" s="778"/>
      <c r="P51" s="769" t="str">
        <f>IFERROR(P49+L51,"")</f>
        <v/>
      </c>
      <c r="Q51" s="770"/>
      <c r="R51" s="770"/>
      <c r="S51" s="771"/>
      <c r="T51" s="778" t="str">
        <f>IFERROR(100-P51,"")</f>
        <v/>
      </c>
      <c r="U51" s="778"/>
      <c r="V51" s="778"/>
      <c r="W51" s="779"/>
      <c r="X51" s="803"/>
      <c r="Y51" s="804"/>
      <c r="Z51" s="804"/>
      <c r="AA51" s="804"/>
      <c r="AB51" s="25"/>
      <c r="AC51" s="25"/>
      <c r="AD51" s="647"/>
      <c r="AE51" s="647"/>
      <c r="AF51" s="647"/>
      <c r="AG51" s="647"/>
      <c r="AH51" s="647"/>
      <c r="AI51" s="8"/>
      <c r="AJ51" s="807"/>
      <c r="AK51" s="807"/>
      <c r="AL51" s="807"/>
      <c r="AM51" s="807"/>
      <c r="AN51" s="807"/>
      <c r="AO51" s="807"/>
      <c r="AP51" s="321"/>
      <c r="AQ51" s="321"/>
      <c r="AR51" s="321"/>
      <c r="AS51" s="321"/>
      <c r="AT51" s="19"/>
    </row>
    <row r="52" spans="1:46" ht="6" customHeight="1" thickBot="1" x14ac:dyDescent="0.25">
      <c r="A52" s="776"/>
      <c r="B52" s="777"/>
      <c r="C52" s="777"/>
      <c r="D52" s="805"/>
      <c r="E52" s="805"/>
      <c r="F52" s="806"/>
      <c r="G52" s="388"/>
      <c r="H52" s="388"/>
      <c r="I52" s="388"/>
      <c r="J52" s="388"/>
      <c r="K52" s="388"/>
      <c r="L52" s="778"/>
      <c r="M52" s="778"/>
      <c r="N52" s="778"/>
      <c r="O52" s="778"/>
      <c r="P52" s="772"/>
      <c r="Q52" s="773"/>
      <c r="R52" s="773"/>
      <c r="S52" s="774"/>
      <c r="T52" s="778"/>
      <c r="U52" s="778"/>
      <c r="V52" s="778"/>
      <c r="W52" s="779"/>
      <c r="X52" s="20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2"/>
    </row>
    <row r="53" spans="1:46" ht="4.5" customHeight="1" thickTop="1" x14ac:dyDescent="0.2">
      <c r="A53" s="839">
        <v>16</v>
      </c>
      <c r="B53" s="770"/>
      <c r="C53" s="770"/>
      <c r="D53" s="833" t="s">
        <v>31</v>
      </c>
      <c r="E53" s="833"/>
      <c r="F53" s="834"/>
      <c r="G53" s="808"/>
      <c r="H53" s="281"/>
      <c r="I53" s="281"/>
      <c r="J53" s="281"/>
      <c r="K53" s="809"/>
      <c r="L53" s="769" t="str">
        <f>IFERROR(G53/($G$68)*100,"")</f>
        <v/>
      </c>
      <c r="M53" s="770"/>
      <c r="N53" s="770"/>
      <c r="O53" s="771"/>
      <c r="P53" s="769" t="str">
        <f>IFERROR(P51+L53,"")</f>
        <v/>
      </c>
      <c r="Q53" s="770"/>
      <c r="R53" s="770"/>
      <c r="S53" s="771"/>
      <c r="T53" s="769" t="str">
        <f>IFERROR(100-P53,"")</f>
        <v/>
      </c>
      <c r="U53" s="770"/>
      <c r="V53" s="770"/>
      <c r="W53" s="817"/>
      <c r="X53" s="8"/>
      <c r="AN53" s="8"/>
      <c r="AO53" s="8"/>
      <c r="AP53" s="8"/>
      <c r="AQ53" s="8"/>
      <c r="AR53" s="8"/>
      <c r="AS53" s="8"/>
      <c r="AT53" s="19"/>
    </row>
    <row r="54" spans="1:46" ht="5.25" customHeight="1" x14ac:dyDescent="0.2">
      <c r="A54" s="840"/>
      <c r="B54" s="815"/>
      <c r="C54" s="815"/>
      <c r="D54" s="835"/>
      <c r="E54" s="835"/>
      <c r="F54" s="836"/>
      <c r="G54" s="810"/>
      <c r="H54" s="276"/>
      <c r="I54" s="276"/>
      <c r="J54" s="276"/>
      <c r="K54" s="811"/>
      <c r="L54" s="814"/>
      <c r="M54" s="815"/>
      <c r="N54" s="815"/>
      <c r="O54" s="816"/>
      <c r="P54" s="814"/>
      <c r="Q54" s="815"/>
      <c r="R54" s="815"/>
      <c r="S54" s="816"/>
      <c r="T54" s="814"/>
      <c r="U54" s="815"/>
      <c r="V54" s="815"/>
      <c r="W54" s="818"/>
      <c r="Y54" s="804" t="s">
        <v>59</v>
      </c>
      <c r="Z54" s="804"/>
      <c r="AA54" s="804"/>
      <c r="AB54" s="804"/>
      <c r="AC54" s="804"/>
      <c r="AD54" s="804"/>
      <c r="AE54" s="804"/>
      <c r="AF54" s="804"/>
      <c r="AG54" s="804"/>
      <c r="AH54" s="804"/>
      <c r="AI54" s="804"/>
      <c r="AJ54" s="804"/>
      <c r="AK54" s="804"/>
      <c r="AL54" s="804"/>
      <c r="AM54" s="804"/>
      <c r="AN54" s="8"/>
      <c r="AO54" s="711"/>
      <c r="AP54" s="711"/>
      <c r="AQ54" s="711"/>
      <c r="AR54" s="711"/>
      <c r="AS54" s="711"/>
      <c r="AT54" s="19"/>
    </row>
    <row r="55" spans="1:46" ht="5.25" customHeight="1" x14ac:dyDescent="0.2">
      <c r="A55" s="841"/>
      <c r="B55" s="773"/>
      <c r="C55" s="773"/>
      <c r="D55" s="837"/>
      <c r="E55" s="837"/>
      <c r="F55" s="838"/>
      <c r="G55" s="812"/>
      <c r="H55" s="279"/>
      <c r="I55" s="279"/>
      <c r="J55" s="279"/>
      <c r="K55" s="813"/>
      <c r="L55" s="772"/>
      <c r="M55" s="773"/>
      <c r="N55" s="773"/>
      <c r="O55" s="774"/>
      <c r="P55" s="772"/>
      <c r="Q55" s="773"/>
      <c r="R55" s="773"/>
      <c r="S55" s="774"/>
      <c r="T55" s="772"/>
      <c r="U55" s="773"/>
      <c r="V55" s="773"/>
      <c r="W55" s="819"/>
      <c r="X55" s="53">
        <v>63</v>
      </c>
      <c r="Y55" s="804"/>
      <c r="Z55" s="804"/>
      <c r="AA55" s="804"/>
      <c r="AB55" s="804"/>
      <c r="AC55" s="804"/>
      <c r="AD55" s="804"/>
      <c r="AE55" s="804"/>
      <c r="AF55" s="804"/>
      <c r="AG55" s="804"/>
      <c r="AH55" s="804"/>
      <c r="AI55" s="804"/>
      <c r="AJ55" s="804"/>
      <c r="AK55" s="804"/>
      <c r="AL55" s="804"/>
      <c r="AM55" s="804"/>
      <c r="AN55" s="8"/>
      <c r="AO55" s="712"/>
      <c r="AP55" s="712"/>
      <c r="AQ55" s="712"/>
      <c r="AR55" s="712"/>
      <c r="AS55" s="712"/>
      <c r="AT55" s="19"/>
    </row>
    <row r="56" spans="1:46" ht="5.25" customHeight="1" x14ac:dyDescent="0.2">
      <c r="A56" s="839">
        <v>12.5</v>
      </c>
      <c r="B56" s="770"/>
      <c r="C56" s="770"/>
      <c r="D56" s="833" t="s">
        <v>33</v>
      </c>
      <c r="E56" s="833"/>
      <c r="F56" s="834"/>
      <c r="G56" s="808"/>
      <c r="H56" s="281"/>
      <c r="I56" s="281"/>
      <c r="J56" s="281"/>
      <c r="K56" s="809"/>
      <c r="L56" s="769" t="str">
        <f>IFERROR(G56/($G$68)*100,"")</f>
        <v/>
      </c>
      <c r="M56" s="770"/>
      <c r="N56" s="770"/>
      <c r="O56" s="771"/>
      <c r="P56" s="769" t="str">
        <f>IFERROR(P53+L56,"")</f>
        <v/>
      </c>
      <c r="Q56" s="770"/>
      <c r="R56" s="770"/>
      <c r="S56" s="771"/>
      <c r="T56" s="769" t="str">
        <f>IFERROR(100-P56,"")</f>
        <v/>
      </c>
      <c r="U56" s="770"/>
      <c r="V56" s="770"/>
      <c r="W56" s="817"/>
      <c r="X56" s="53">
        <v>50</v>
      </c>
      <c r="Y56" s="804" t="s">
        <v>60</v>
      </c>
      <c r="Z56" s="804"/>
      <c r="AA56" s="804"/>
      <c r="AB56" s="804"/>
      <c r="AC56" s="804"/>
      <c r="AD56" s="804"/>
      <c r="AE56" s="804"/>
      <c r="AF56" s="804"/>
      <c r="AG56" s="804"/>
      <c r="AH56" s="804"/>
      <c r="AI56" s="804"/>
      <c r="AJ56" s="804"/>
      <c r="AK56" s="804"/>
      <c r="AL56" s="804"/>
      <c r="AM56" s="804"/>
      <c r="AN56" s="8"/>
      <c r="AO56" s="644"/>
      <c r="AP56" s="644"/>
      <c r="AQ56" s="644"/>
      <c r="AR56" s="644"/>
      <c r="AS56" s="644"/>
      <c r="AT56" s="19"/>
    </row>
    <row r="57" spans="1:46" ht="5.25" customHeight="1" x14ac:dyDescent="0.2">
      <c r="A57" s="840"/>
      <c r="B57" s="815"/>
      <c r="C57" s="815"/>
      <c r="D57" s="835"/>
      <c r="E57" s="835"/>
      <c r="F57" s="836"/>
      <c r="G57" s="810"/>
      <c r="H57" s="276"/>
      <c r="I57" s="276"/>
      <c r="J57" s="276"/>
      <c r="K57" s="811"/>
      <c r="L57" s="814"/>
      <c r="M57" s="815"/>
      <c r="N57" s="815"/>
      <c r="O57" s="816"/>
      <c r="P57" s="814"/>
      <c r="Q57" s="815"/>
      <c r="R57" s="815"/>
      <c r="S57" s="816"/>
      <c r="T57" s="814"/>
      <c r="U57" s="815"/>
      <c r="V57" s="815"/>
      <c r="W57" s="818"/>
      <c r="X57" s="53">
        <v>37.5</v>
      </c>
      <c r="Y57" s="804"/>
      <c r="Z57" s="804"/>
      <c r="AA57" s="804"/>
      <c r="AB57" s="804"/>
      <c r="AC57" s="804"/>
      <c r="AD57" s="804"/>
      <c r="AE57" s="804"/>
      <c r="AF57" s="804"/>
      <c r="AG57" s="804"/>
      <c r="AH57" s="804"/>
      <c r="AI57" s="804"/>
      <c r="AJ57" s="804"/>
      <c r="AK57" s="804"/>
      <c r="AL57" s="804"/>
      <c r="AM57" s="804"/>
      <c r="AN57" s="8"/>
      <c r="AO57" s="645"/>
      <c r="AP57" s="645"/>
      <c r="AQ57" s="645"/>
      <c r="AR57" s="645"/>
      <c r="AS57" s="645"/>
      <c r="AT57" s="19"/>
    </row>
    <row r="58" spans="1:46" ht="5.25" customHeight="1" x14ac:dyDescent="0.2">
      <c r="A58" s="841"/>
      <c r="B58" s="773"/>
      <c r="C58" s="773"/>
      <c r="D58" s="837"/>
      <c r="E58" s="837"/>
      <c r="F58" s="838"/>
      <c r="G58" s="812"/>
      <c r="H58" s="279"/>
      <c r="I58" s="279"/>
      <c r="J58" s="279"/>
      <c r="K58" s="813"/>
      <c r="L58" s="772"/>
      <c r="M58" s="773"/>
      <c r="N58" s="773"/>
      <c r="O58" s="774"/>
      <c r="P58" s="772"/>
      <c r="Q58" s="773"/>
      <c r="R58" s="773"/>
      <c r="S58" s="774"/>
      <c r="T58" s="772"/>
      <c r="U58" s="773"/>
      <c r="V58" s="773"/>
      <c r="W58" s="819"/>
      <c r="X58" s="53">
        <v>31.5</v>
      </c>
      <c r="Y58" s="804" t="s">
        <v>61</v>
      </c>
      <c r="Z58" s="804"/>
      <c r="AA58" s="804"/>
      <c r="AB58" s="804"/>
      <c r="AC58" s="804"/>
      <c r="AD58" s="804"/>
      <c r="AE58" s="804"/>
      <c r="AF58" s="804"/>
      <c r="AG58" s="804"/>
      <c r="AH58" s="804"/>
      <c r="AI58" s="804"/>
      <c r="AJ58" s="804"/>
      <c r="AK58" s="804"/>
      <c r="AL58" s="804"/>
      <c r="AM58" s="804"/>
      <c r="AN58" s="8"/>
      <c r="AO58" s="644"/>
      <c r="AP58" s="644"/>
      <c r="AQ58" s="644"/>
      <c r="AR58" s="644"/>
      <c r="AS58" s="644"/>
      <c r="AT58" s="19"/>
    </row>
    <row r="59" spans="1:46" ht="5.25" customHeight="1" x14ac:dyDescent="0.2">
      <c r="A59" s="839">
        <v>9.5</v>
      </c>
      <c r="B59" s="770"/>
      <c r="C59" s="770"/>
      <c r="D59" s="833" t="s">
        <v>34</v>
      </c>
      <c r="E59" s="833"/>
      <c r="F59" s="834"/>
      <c r="G59" s="808"/>
      <c r="H59" s="281"/>
      <c r="I59" s="281"/>
      <c r="J59" s="281"/>
      <c r="K59" s="809"/>
      <c r="L59" s="769" t="str">
        <f>IFERROR(G59/($G$68)*100,"")</f>
        <v/>
      </c>
      <c r="M59" s="770"/>
      <c r="N59" s="770"/>
      <c r="O59" s="771"/>
      <c r="P59" s="769" t="str">
        <f>IFERROR(P56+L59,"")</f>
        <v/>
      </c>
      <c r="Q59" s="770"/>
      <c r="R59" s="770"/>
      <c r="S59" s="771"/>
      <c r="T59" s="769" t="str">
        <f>IFERROR(100-P59,"")</f>
        <v/>
      </c>
      <c r="U59" s="770"/>
      <c r="V59" s="770"/>
      <c r="W59" s="817"/>
      <c r="X59" s="53">
        <v>25</v>
      </c>
      <c r="Y59" s="804"/>
      <c r="Z59" s="804"/>
      <c r="AA59" s="804"/>
      <c r="AB59" s="804"/>
      <c r="AC59" s="804"/>
      <c r="AD59" s="804"/>
      <c r="AE59" s="804"/>
      <c r="AF59" s="804"/>
      <c r="AG59" s="804"/>
      <c r="AH59" s="804"/>
      <c r="AI59" s="804"/>
      <c r="AJ59" s="804"/>
      <c r="AK59" s="804"/>
      <c r="AL59" s="804"/>
      <c r="AM59" s="804"/>
      <c r="AN59" s="8"/>
      <c r="AO59" s="645"/>
      <c r="AP59" s="645"/>
      <c r="AQ59" s="645"/>
      <c r="AR59" s="645"/>
      <c r="AS59" s="645"/>
      <c r="AT59" s="19"/>
    </row>
    <row r="60" spans="1:46" ht="5.25" customHeight="1" x14ac:dyDescent="0.2">
      <c r="A60" s="840"/>
      <c r="B60" s="815"/>
      <c r="C60" s="815"/>
      <c r="D60" s="835"/>
      <c r="E60" s="835"/>
      <c r="F60" s="836"/>
      <c r="G60" s="810"/>
      <c r="H60" s="276"/>
      <c r="I60" s="276"/>
      <c r="J60" s="276"/>
      <c r="K60" s="811"/>
      <c r="L60" s="814"/>
      <c r="M60" s="815"/>
      <c r="N60" s="815"/>
      <c r="O60" s="816"/>
      <c r="P60" s="814"/>
      <c r="Q60" s="815"/>
      <c r="R60" s="815"/>
      <c r="S60" s="816"/>
      <c r="T60" s="814"/>
      <c r="U60" s="815"/>
      <c r="V60" s="815"/>
      <c r="W60" s="818"/>
      <c r="X60" s="53">
        <v>19</v>
      </c>
      <c r="Y60" s="804" t="s">
        <v>62</v>
      </c>
      <c r="Z60" s="804"/>
      <c r="AA60" s="804"/>
      <c r="AB60" s="804"/>
      <c r="AC60" s="804"/>
      <c r="AD60" s="804"/>
      <c r="AE60" s="804"/>
      <c r="AF60" s="804"/>
      <c r="AG60" s="804"/>
      <c r="AH60" s="804"/>
      <c r="AI60" s="804"/>
      <c r="AJ60" s="804"/>
      <c r="AK60" s="804"/>
      <c r="AL60" s="804"/>
      <c r="AM60" s="804"/>
      <c r="AN60" s="8"/>
      <c r="AO60" s="644"/>
      <c r="AP60" s="644"/>
      <c r="AQ60" s="644"/>
      <c r="AR60" s="644"/>
      <c r="AS60" s="644"/>
      <c r="AT60" s="19"/>
    </row>
    <row r="61" spans="1:46" ht="5.25" customHeight="1" x14ac:dyDescent="0.2">
      <c r="A61" s="841"/>
      <c r="B61" s="773"/>
      <c r="C61" s="773"/>
      <c r="D61" s="837"/>
      <c r="E61" s="837"/>
      <c r="F61" s="838"/>
      <c r="G61" s="812"/>
      <c r="H61" s="279"/>
      <c r="I61" s="279"/>
      <c r="J61" s="279"/>
      <c r="K61" s="813"/>
      <c r="L61" s="772"/>
      <c r="M61" s="773"/>
      <c r="N61" s="773"/>
      <c r="O61" s="774"/>
      <c r="P61" s="772"/>
      <c r="Q61" s="773"/>
      <c r="R61" s="773"/>
      <c r="S61" s="774"/>
      <c r="T61" s="772"/>
      <c r="U61" s="773"/>
      <c r="V61" s="773"/>
      <c r="W61" s="819"/>
      <c r="X61" s="53">
        <v>16</v>
      </c>
      <c r="Y61" s="804"/>
      <c r="Z61" s="804"/>
      <c r="AA61" s="804"/>
      <c r="AB61" s="804"/>
      <c r="AC61" s="804"/>
      <c r="AD61" s="804"/>
      <c r="AE61" s="804"/>
      <c r="AF61" s="804"/>
      <c r="AG61" s="804"/>
      <c r="AH61" s="804"/>
      <c r="AI61" s="804"/>
      <c r="AJ61" s="804"/>
      <c r="AK61" s="804"/>
      <c r="AL61" s="804"/>
      <c r="AM61" s="804"/>
      <c r="AN61" s="8"/>
      <c r="AO61" s="645"/>
      <c r="AP61" s="645"/>
      <c r="AQ61" s="645"/>
      <c r="AR61" s="645"/>
      <c r="AS61" s="645"/>
      <c r="AT61" s="19"/>
    </row>
    <row r="62" spans="1:46" ht="5.25" customHeight="1" x14ac:dyDescent="0.2">
      <c r="A62" s="760">
        <v>4.75</v>
      </c>
      <c r="B62" s="753"/>
      <c r="C62" s="753"/>
      <c r="D62" s="833" t="s">
        <v>35</v>
      </c>
      <c r="E62" s="833"/>
      <c r="F62" s="834"/>
      <c r="G62" s="808"/>
      <c r="H62" s="281"/>
      <c r="I62" s="281"/>
      <c r="J62" s="281"/>
      <c r="K62" s="809"/>
      <c r="L62" s="769" t="str">
        <f>IFERROR(G62/($G$68)*100,"")</f>
        <v/>
      </c>
      <c r="M62" s="770"/>
      <c r="N62" s="770"/>
      <c r="O62" s="771"/>
      <c r="P62" s="769" t="str">
        <f>IFERROR(P59+L62,"")</f>
        <v/>
      </c>
      <c r="Q62" s="770"/>
      <c r="R62" s="770"/>
      <c r="S62" s="771"/>
      <c r="T62" s="769" t="str">
        <f>IFERROR(100-P62,"")</f>
        <v/>
      </c>
      <c r="U62" s="770"/>
      <c r="V62" s="770"/>
      <c r="W62" s="817"/>
      <c r="X62" s="53">
        <v>12.5</v>
      </c>
      <c r="Y62" s="804" t="s">
        <v>63</v>
      </c>
      <c r="Z62" s="804"/>
      <c r="AA62" s="804"/>
      <c r="AB62" s="804"/>
      <c r="AC62" s="804"/>
      <c r="AD62" s="804"/>
      <c r="AE62" s="804"/>
      <c r="AF62" s="804"/>
      <c r="AG62" s="804"/>
      <c r="AH62" s="804"/>
      <c r="AI62" s="804"/>
      <c r="AJ62" s="804"/>
      <c r="AK62" s="804"/>
      <c r="AL62" s="804"/>
      <c r="AM62" s="804"/>
      <c r="AN62" s="8"/>
      <c r="AO62" s="711"/>
      <c r="AP62" s="711"/>
      <c r="AQ62" s="711"/>
      <c r="AR62" s="711"/>
      <c r="AS62" s="711"/>
      <c r="AT62" s="19"/>
    </row>
    <row r="63" spans="1:46" ht="5.25" customHeight="1" x14ac:dyDescent="0.2">
      <c r="A63" s="761"/>
      <c r="B63" s="755"/>
      <c r="C63" s="755"/>
      <c r="D63" s="835"/>
      <c r="E63" s="835"/>
      <c r="F63" s="836"/>
      <c r="G63" s="810"/>
      <c r="H63" s="276"/>
      <c r="I63" s="276"/>
      <c r="J63" s="276"/>
      <c r="K63" s="811"/>
      <c r="L63" s="814"/>
      <c r="M63" s="815"/>
      <c r="N63" s="815"/>
      <c r="O63" s="816"/>
      <c r="P63" s="814"/>
      <c r="Q63" s="815"/>
      <c r="R63" s="815"/>
      <c r="S63" s="816"/>
      <c r="T63" s="814"/>
      <c r="U63" s="815"/>
      <c r="V63" s="815"/>
      <c r="W63" s="818"/>
      <c r="X63" s="53">
        <v>9.5</v>
      </c>
      <c r="Y63" s="804"/>
      <c r="Z63" s="804"/>
      <c r="AA63" s="804"/>
      <c r="AB63" s="804"/>
      <c r="AC63" s="804"/>
      <c r="AD63" s="804"/>
      <c r="AE63" s="804"/>
      <c r="AF63" s="804"/>
      <c r="AG63" s="804"/>
      <c r="AH63" s="804"/>
      <c r="AI63" s="804"/>
      <c r="AJ63" s="804"/>
      <c r="AK63" s="804"/>
      <c r="AL63" s="804"/>
      <c r="AM63" s="804"/>
      <c r="AN63" s="8"/>
      <c r="AO63" s="712"/>
      <c r="AP63" s="712"/>
      <c r="AQ63" s="712"/>
      <c r="AR63" s="712"/>
      <c r="AS63" s="712"/>
      <c r="AT63" s="19"/>
    </row>
    <row r="64" spans="1:46" ht="5.25" customHeight="1" x14ac:dyDescent="0.2">
      <c r="A64" s="823"/>
      <c r="B64" s="824"/>
      <c r="C64" s="824"/>
      <c r="D64" s="837"/>
      <c r="E64" s="837"/>
      <c r="F64" s="838"/>
      <c r="G64" s="812"/>
      <c r="H64" s="279"/>
      <c r="I64" s="279"/>
      <c r="J64" s="279"/>
      <c r="K64" s="813"/>
      <c r="L64" s="772"/>
      <c r="M64" s="773"/>
      <c r="N64" s="773"/>
      <c r="O64" s="774"/>
      <c r="P64" s="772"/>
      <c r="Q64" s="773"/>
      <c r="R64" s="773"/>
      <c r="S64" s="774"/>
      <c r="T64" s="772"/>
      <c r="U64" s="773"/>
      <c r="V64" s="773"/>
      <c r="W64" s="819"/>
      <c r="X64" s="54">
        <v>4.75</v>
      </c>
      <c r="Y64" s="804" t="s">
        <v>93</v>
      </c>
      <c r="Z64" s="804"/>
      <c r="AA64" s="804"/>
      <c r="AB64" s="804"/>
      <c r="AC64" s="804"/>
      <c r="AD64" s="804"/>
      <c r="AE64" s="804"/>
      <c r="AF64" s="804"/>
      <c r="AG64" s="804"/>
      <c r="AH64" s="804"/>
      <c r="AI64" s="804"/>
      <c r="AJ64" s="804"/>
      <c r="AK64" s="804"/>
      <c r="AL64" s="804"/>
      <c r="AM64" s="804"/>
      <c r="AN64" s="8"/>
      <c r="AO64" s="276"/>
      <c r="AP64" s="276"/>
      <c r="AQ64" s="276"/>
      <c r="AR64" s="276"/>
      <c r="AS64" s="276"/>
      <c r="AT64" s="19"/>
    </row>
    <row r="65" spans="1:46" ht="5.25" customHeight="1" x14ac:dyDescent="0.2">
      <c r="A65" s="885" t="s">
        <v>36</v>
      </c>
      <c r="B65" s="886"/>
      <c r="C65" s="886"/>
      <c r="D65" s="886"/>
      <c r="E65" s="886"/>
      <c r="F65" s="887"/>
      <c r="G65" s="808"/>
      <c r="H65" s="281"/>
      <c r="I65" s="281"/>
      <c r="J65" s="281"/>
      <c r="K65" s="809"/>
      <c r="L65" s="769" t="str">
        <f>IFERROR(G65/($G$68)*100,"")</f>
        <v/>
      </c>
      <c r="M65" s="770"/>
      <c r="N65" s="770"/>
      <c r="O65" s="771"/>
      <c r="P65" s="743" t="str">
        <f>IF(U34="C","",IF(AND(G65&gt;0,G117&gt;0),"only one mass pan",""))</f>
        <v/>
      </c>
      <c r="Q65" s="744"/>
      <c r="R65" s="744"/>
      <c r="S65" s="744"/>
      <c r="T65" s="744"/>
      <c r="U65" s="744"/>
      <c r="V65" s="744"/>
      <c r="W65" s="745"/>
      <c r="X65" s="54"/>
      <c r="Y65" s="804"/>
      <c r="Z65" s="804"/>
      <c r="AA65" s="804"/>
      <c r="AB65" s="804"/>
      <c r="AC65" s="804"/>
      <c r="AD65" s="804"/>
      <c r="AE65" s="804"/>
      <c r="AF65" s="804"/>
      <c r="AG65" s="804"/>
      <c r="AH65" s="804"/>
      <c r="AI65" s="804"/>
      <c r="AJ65" s="804"/>
      <c r="AK65" s="804"/>
      <c r="AL65" s="804"/>
      <c r="AM65" s="804"/>
      <c r="AN65" s="8"/>
      <c r="AO65" s="279"/>
      <c r="AP65" s="279"/>
      <c r="AQ65" s="279"/>
      <c r="AR65" s="279"/>
      <c r="AS65" s="279"/>
      <c r="AT65" s="19"/>
    </row>
    <row r="66" spans="1:46" ht="5.25" customHeight="1" x14ac:dyDescent="0.2">
      <c r="A66" s="888"/>
      <c r="B66" s="889"/>
      <c r="C66" s="889"/>
      <c r="D66" s="889"/>
      <c r="E66" s="889"/>
      <c r="F66" s="890"/>
      <c r="G66" s="810"/>
      <c r="H66" s="444"/>
      <c r="I66" s="444"/>
      <c r="J66" s="444"/>
      <c r="K66" s="811"/>
      <c r="L66" s="814"/>
      <c r="M66" s="815"/>
      <c r="N66" s="815"/>
      <c r="O66" s="816"/>
      <c r="P66" s="746"/>
      <c r="Q66" s="747"/>
      <c r="R66" s="747"/>
      <c r="S66" s="747"/>
      <c r="T66" s="747"/>
      <c r="U66" s="747"/>
      <c r="V66" s="747"/>
      <c r="W66" s="748"/>
      <c r="X66" s="55" t="str">
        <f>T41</f>
        <v/>
      </c>
      <c r="Y66" s="804" t="s">
        <v>64</v>
      </c>
      <c r="Z66" s="804"/>
      <c r="AA66" s="804"/>
      <c r="AB66" s="804"/>
      <c r="AC66" s="804"/>
      <c r="AD66" s="804"/>
      <c r="AE66" s="804"/>
      <c r="AF66" s="804"/>
      <c r="AG66" s="804"/>
      <c r="AH66" s="804"/>
      <c r="AI66" s="804"/>
      <c r="AJ66" s="804"/>
      <c r="AK66" s="804"/>
      <c r="AL66" s="804"/>
      <c r="AM66" s="804"/>
      <c r="AN66" s="8"/>
      <c r="AO66" s="276"/>
      <c r="AP66" s="276"/>
      <c r="AQ66" s="276"/>
      <c r="AR66" s="276"/>
      <c r="AS66" s="276"/>
      <c r="AT66" s="19"/>
    </row>
    <row r="67" spans="1:46" ht="5.25" customHeight="1" x14ac:dyDescent="0.2">
      <c r="A67" s="891"/>
      <c r="B67" s="892"/>
      <c r="C67" s="892"/>
      <c r="D67" s="892"/>
      <c r="E67" s="892"/>
      <c r="F67" s="893"/>
      <c r="G67" s="812"/>
      <c r="H67" s="279"/>
      <c r="I67" s="279"/>
      <c r="J67" s="279"/>
      <c r="K67" s="813"/>
      <c r="L67" s="772"/>
      <c r="M67" s="773"/>
      <c r="N67" s="773"/>
      <c r="O67" s="774"/>
      <c r="P67" s="746"/>
      <c r="Q67" s="747"/>
      <c r="R67" s="747"/>
      <c r="S67" s="747"/>
      <c r="T67" s="747"/>
      <c r="U67" s="747"/>
      <c r="V67" s="747"/>
      <c r="W67" s="748"/>
      <c r="X67" s="55" t="str">
        <f>T43</f>
        <v/>
      </c>
      <c r="Y67" s="804"/>
      <c r="Z67" s="804"/>
      <c r="AA67" s="804"/>
      <c r="AB67" s="804"/>
      <c r="AC67" s="804"/>
      <c r="AD67" s="804"/>
      <c r="AE67" s="804"/>
      <c r="AF67" s="804"/>
      <c r="AG67" s="804"/>
      <c r="AH67" s="804"/>
      <c r="AI67" s="804"/>
      <c r="AJ67" s="804"/>
      <c r="AK67" s="804"/>
      <c r="AL67" s="804"/>
      <c r="AM67" s="804"/>
      <c r="AN67" s="8"/>
      <c r="AO67" s="279"/>
      <c r="AP67" s="279"/>
      <c r="AQ67" s="279"/>
      <c r="AR67" s="279"/>
      <c r="AS67" s="279"/>
      <c r="AT67" s="19"/>
    </row>
    <row r="68" spans="1:46" ht="5.25" customHeight="1" x14ac:dyDescent="0.2">
      <c r="A68" s="884" t="s">
        <v>37</v>
      </c>
      <c r="B68" s="868"/>
      <c r="C68" s="868"/>
      <c r="D68" s="868"/>
      <c r="E68" s="868"/>
      <c r="F68" s="894"/>
      <c r="G68" s="752">
        <f>IF(U34="C",SUM(G41:K67),SUM(G41:K67) +SUM(G87:K122))</f>
        <v>0</v>
      </c>
      <c r="H68" s="753"/>
      <c r="I68" s="753"/>
      <c r="J68" s="753"/>
      <c r="K68" s="863"/>
      <c r="L68" s="867"/>
      <c r="M68" s="868"/>
      <c r="N68" s="868"/>
      <c r="O68" s="868"/>
      <c r="P68" s="804"/>
      <c r="Q68" s="804"/>
      <c r="R68" s="804"/>
      <c r="S68" s="804"/>
      <c r="T68" s="804"/>
      <c r="U68" s="804"/>
      <c r="V68" s="804"/>
      <c r="W68" s="869"/>
      <c r="X68" s="55" t="str">
        <f>T45</f>
        <v/>
      </c>
      <c r="Y68" s="804" t="s">
        <v>65</v>
      </c>
      <c r="Z68" s="804"/>
      <c r="AA68" s="804"/>
      <c r="AB68" s="804"/>
      <c r="AC68" s="804"/>
      <c r="AD68" s="804"/>
      <c r="AE68" s="804"/>
      <c r="AF68" s="804"/>
      <c r="AG68" s="804"/>
      <c r="AH68" s="804"/>
      <c r="AI68" s="804"/>
      <c r="AJ68" s="804"/>
      <c r="AK68" s="804"/>
      <c r="AL68" s="804"/>
      <c r="AM68" s="804"/>
      <c r="AN68" s="8"/>
      <c r="AO68" s="711"/>
      <c r="AP68" s="711"/>
      <c r="AQ68" s="711"/>
      <c r="AR68" s="711"/>
      <c r="AS68" s="711"/>
      <c r="AT68" s="19"/>
    </row>
    <row r="69" spans="1:46" ht="5.25" customHeight="1" x14ac:dyDescent="0.2">
      <c r="A69" s="803"/>
      <c r="B69" s="804"/>
      <c r="C69" s="804"/>
      <c r="D69" s="804"/>
      <c r="E69" s="804"/>
      <c r="F69" s="895"/>
      <c r="G69" s="754"/>
      <c r="H69" s="755"/>
      <c r="I69" s="755"/>
      <c r="J69" s="755"/>
      <c r="K69" s="864"/>
      <c r="L69" s="870"/>
      <c r="M69" s="804"/>
      <c r="N69" s="804"/>
      <c r="O69" s="804"/>
      <c r="P69" s="804"/>
      <c r="Q69" s="804"/>
      <c r="R69" s="804"/>
      <c r="S69" s="804"/>
      <c r="T69" s="804"/>
      <c r="U69" s="804"/>
      <c r="V69" s="804"/>
      <c r="W69" s="869"/>
      <c r="X69" s="55" t="str">
        <f>T47</f>
        <v/>
      </c>
      <c r="Y69" s="804"/>
      <c r="Z69" s="804"/>
      <c r="AA69" s="804"/>
      <c r="AB69" s="804"/>
      <c r="AC69" s="804"/>
      <c r="AD69" s="804"/>
      <c r="AE69" s="804"/>
      <c r="AF69" s="804"/>
      <c r="AG69" s="804"/>
      <c r="AH69" s="804"/>
      <c r="AI69" s="804"/>
      <c r="AJ69" s="804"/>
      <c r="AK69" s="804"/>
      <c r="AL69" s="804"/>
      <c r="AM69" s="804"/>
      <c r="AN69" s="8"/>
      <c r="AO69" s="712"/>
      <c r="AP69" s="712"/>
      <c r="AQ69" s="712"/>
      <c r="AR69" s="712"/>
      <c r="AS69" s="712"/>
      <c r="AT69" s="19"/>
    </row>
    <row r="70" spans="1:46" ht="5.25" customHeight="1" x14ac:dyDescent="0.2">
      <c r="A70" s="896"/>
      <c r="B70" s="872"/>
      <c r="C70" s="872"/>
      <c r="D70" s="872"/>
      <c r="E70" s="872"/>
      <c r="F70" s="897"/>
      <c r="G70" s="865"/>
      <c r="H70" s="824"/>
      <c r="I70" s="824"/>
      <c r="J70" s="824"/>
      <c r="K70" s="866"/>
      <c r="L70" s="871"/>
      <c r="M70" s="872"/>
      <c r="N70" s="872"/>
      <c r="O70" s="872"/>
      <c r="P70" s="872"/>
      <c r="Q70" s="872"/>
      <c r="R70" s="872"/>
      <c r="S70" s="872"/>
      <c r="T70" s="872"/>
      <c r="U70" s="872"/>
      <c r="V70" s="872"/>
      <c r="W70" s="873"/>
      <c r="X70" s="55" t="str">
        <f>T49</f>
        <v/>
      </c>
      <c r="Y70" s="804" t="s">
        <v>66</v>
      </c>
      <c r="Z70" s="804"/>
      <c r="AA70" s="804"/>
      <c r="AB70" s="804"/>
      <c r="AC70" s="804"/>
      <c r="AD70" s="804"/>
      <c r="AE70" s="804"/>
      <c r="AF70" s="804"/>
      <c r="AG70" s="804"/>
      <c r="AH70" s="804"/>
      <c r="AI70" s="804"/>
      <c r="AJ70" s="804"/>
      <c r="AK70" s="804"/>
      <c r="AL70" s="804"/>
      <c r="AM70" s="804"/>
      <c r="AN70" s="8"/>
      <c r="AO70" s="276"/>
      <c r="AP70" s="276"/>
      <c r="AQ70" s="276"/>
      <c r="AR70" s="276"/>
      <c r="AS70" s="276"/>
      <c r="AT70" s="19"/>
    </row>
    <row r="71" spans="1:46" ht="5.25" customHeight="1" x14ac:dyDescent="0.2">
      <c r="A71" s="884" t="s">
        <v>38</v>
      </c>
      <c r="B71" s="868"/>
      <c r="C71" s="868"/>
      <c r="D71" s="868"/>
      <c r="E71" s="868"/>
      <c r="F71" s="868"/>
      <c r="G71" s="804"/>
      <c r="H71" s="804"/>
      <c r="I71" s="9"/>
      <c r="J71" s="9"/>
      <c r="K71" s="9"/>
      <c r="L71" s="9"/>
      <c r="M71" s="9"/>
      <c r="N71" s="9"/>
      <c r="O71" s="9"/>
      <c r="P71" s="9"/>
      <c r="Q71" s="9"/>
      <c r="R71" s="755" t="s">
        <v>39</v>
      </c>
      <c r="S71" s="755"/>
      <c r="T71" s="758" t="str">
        <f>IFERROR((J72-G68)/J72 *100,"")</f>
        <v/>
      </c>
      <c r="U71" s="758"/>
      <c r="V71" s="758"/>
      <c r="W71" s="759"/>
      <c r="X71" s="55" t="str">
        <f>T51</f>
        <v/>
      </c>
      <c r="Y71" s="804"/>
      <c r="Z71" s="804"/>
      <c r="AA71" s="804"/>
      <c r="AB71" s="804"/>
      <c r="AC71" s="804"/>
      <c r="AD71" s="804"/>
      <c r="AE71" s="804"/>
      <c r="AF71" s="804"/>
      <c r="AG71" s="804"/>
      <c r="AH71" s="804"/>
      <c r="AI71" s="804"/>
      <c r="AJ71" s="804"/>
      <c r="AK71" s="804"/>
      <c r="AL71" s="804"/>
      <c r="AM71" s="804"/>
      <c r="AN71" s="8"/>
      <c r="AO71" s="279"/>
      <c r="AP71" s="279"/>
      <c r="AQ71" s="279"/>
      <c r="AR71" s="279"/>
      <c r="AS71" s="279"/>
      <c r="AT71" s="19"/>
    </row>
    <row r="72" spans="1:46" ht="5.25" customHeight="1" x14ac:dyDescent="0.2">
      <c r="A72" s="803"/>
      <c r="B72" s="804"/>
      <c r="C72" s="804"/>
      <c r="D72" s="804"/>
      <c r="E72" s="804"/>
      <c r="F72" s="804"/>
      <c r="G72" s="804"/>
      <c r="H72" s="804"/>
      <c r="I72" s="13"/>
      <c r="J72" s="276"/>
      <c r="K72" s="276"/>
      <c r="L72" s="276"/>
      <c r="M72" s="276"/>
      <c r="N72" s="276"/>
      <c r="O72" s="276"/>
      <c r="P72" s="276"/>
      <c r="Q72" s="8"/>
      <c r="R72" s="755"/>
      <c r="S72" s="755"/>
      <c r="T72" s="758"/>
      <c r="U72" s="758"/>
      <c r="V72" s="758"/>
      <c r="W72" s="759"/>
      <c r="X72" s="55" t="str">
        <f>T53</f>
        <v/>
      </c>
      <c r="Y72" s="874" t="s">
        <v>67</v>
      </c>
      <c r="Z72" s="874"/>
      <c r="AA72" s="874"/>
      <c r="AB72" s="874"/>
      <c r="AC72" s="874"/>
      <c r="AD72" s="874"/>
      <c r="AE72" s="874"/>
      <c r="AF72" s="874"/>
      <c r="AG72" s="874"/>
      <c r="AH72" s="874" t="s">
        <v>68</v>
      </c>
      <c r="AI72" s="874"/>
      <c r="AJ72" s="874"/>
      <c r="AK72" s="882"/>
      <c r="AL72" s="882"/>
      <c r="AM72" s="882"/>
      <c r="AN72" s="755" t="s">
        <v>69</v>
      </c>
      <c r="AO72" s="711"/>
      <c r="AP72" s="711"/>
      <c r="AQ72" s="711"/>
      <c r="AR72" s="711"/>
      <c r="AS72" s="711"/>
      <c r="AT72" s="19"/>
    </row>
    <row r="73" spans="1:46" ht="5.25" customHeight="1" x14ac:dyDescent="0.2">
      <c r="A73" s="803"/>
      <c r="B73" s="804"/>
      <c r="C73" s="804"/>
      <c r="D73" s="804"/>
      <c r="E73" s="804"/>
      <c r="F73" s="804"/>
      <c r="G73" s="804"/>
      <c r="H73" s="804"/>
      <c r="I73" s="13"/>
      <c r="J73" s="276"/>
      <c r="K73" s="276"/>
      <c r="L73" s="276"/>
      <c r="M73" s="276"/>
      <c r="N73" s="276"/>
      <c r="O73" s="276"/>
      <c r="P73" s="276"/>
      <c r="Q73" s="8"/>
      <c r="R73" s="755"/>
      <c r="S73" s="755"/>
      <c r="T73" s="758"/>
      <c r="U73" s="758"/>
      <c r="V73" s="758"/>
      <c r="W73" s="759"/>
      <c r="X73" s="55" t="str">
        <f>T56</f>
        <v/>
      </c>
      <c r="Y73" s="874"/>
      <c r="Z73" s="874"/>
      <c r="AA73" s="874"/>
      <c r="AB73" s="874"/>
      <c r="AC73" s="874"/>
      <c r="AD73" s="874"/>
      <c r="AE73" s="874"/>
      <c r="AF73" s="874"/>
      <c r="AG73" s="874"/>
      <c r="AH73" s="874"/>
      <c r="AI73" s="874"/>
      <c r="AJ73" s="874"/>
      <c r="AK73" s="883"/>
      <c r="AL73" s="883"/>
      <c r="AM73" s="883"/>
      <c r="AN73" s="755"/>
      <c r="AO73" s="712"/>
      <c r="AP73" s="712"/>
      <c r="AQ73" s="712"/>
      <c r="AR73" s="712"/>
      <c r="AS73" s="712"/>
      <c r="AT73" s="19"/>
    </row>
    <row r="74" spans="1:46" ht="5.25" customHeight="1" x14ac:dyDescent="0.2">
      <c r="A74" s="803"/>
      <c r="B74" s="804"/>
      <c r="C74" s="804"/>
      <c r="D74" s="804"/>
      <c r="E74" s="804"/>
      <c r="F74" s="804"/>
      <c r="G74" s="804"/>
      <c r="H74" s="804"/>
      <c r="I74" s="13"/>
      <c r="J74" s="276"/>
      <c r="K74" s="276"/>
      <c r="L74" s="276"/>
      <c r="M74" s="276"/>
      <c r="N74" s="276"/>
      <c r="O74" s="276"/>
      <c r="P74" s="276"/>
      <c r="Q74" s="8"/>
      <c r="R74" s="755"/>
      <c r="S74" s="755"/>
      <c r="T74" s="758"/>
      <c r="U74" s="758"/>
      <c r="V74" s="758"/>
      <c r="W74" s="759"/>
      <c r="X74" s="55" t="str">
        <f>T59</f>
        <v/>
      </c>
      <c r="Y74" s="804" t="s">
        <v>70</v>
      </c>
      <c r="Z74" s="804"/>
      <c r="AA74" s="804"/>
      <c r="AB74" s="804"/>
      <c r="AC74" s="804"/>
      <c r="AD74" s="804"/>
      <c r="AE74" s="804"/>
      <c r="AF74" s="804"/>
      <c r="AG74" s="804"/>
      <c r="AH74" s="804"/>
      <c r="AI74" s="804"/>
      <c r="AJ74" s="804"/>
      <c r="AK74" s="804"/>
      <c r="AL74" s="804"/>
      <c r="AM74" s="804"/>
      <c r="AO74" s="644"/>
      <c r="AP74" s="644"/>
      <c r="AQ74" s="644"/>
      <c r="AR74" s="644"/>
      <c r="AS74" s="644"/>
      <c r="AT74" s="19"/>
    </row>
    <row r="75" spans="1:46" ht="5.25" customHeight="1" x14ac:dyDescent="0.2">
      <c r="A75" s="803"/>
      <c r="B75" s="804"/>
      <c r="C75" s="804"/>
      <c r="D75" s="804"/>
      <c r="E75" s="804"/>
      <c r="F75" s="804"/>
      <c r="G75" s="804"/>
      <c r="H75" s="804"/>
      <c r="I75" s="13"/>
      <c r="J75" s="12"/>
      <c r="K75" s="12"/>
      <c r="L75" s="7"/>
      <c r="M75" s="7"/>
      <c r="N75" s="7"/>
      <c r="O75" s="7"/>
      <c r="P75" s="7"/>
      <c r="Q75" s="8"/>
      <c r="R75" s="755"/>
      <c r="S75" s="755"/>
      <c r="T75" s="758"/>
      <c r="U75" s="758"/>
      <c r="V75" s="758"/>
      <c r="W75" s="759"/>
      <c r="X75" s="55" t="str">
        <f>T62</f>
        <v/>
      </c>
      <c r="Y75" s="804"/>
      <c r="Z75" s="804"/>
      <c r="AA75" s="804"/>
      <c r="AB75" s="804"/>
      <c r="AC75" s="804"/>
      <c r="AD75" s="804"/>
      <c r="AE75" s="804"/>
      <c r="AF75" s="804"/>
      <c r="AG75" s="804"/>
      <c r="AH75" s="804"/>
      <c r="AI75" s="804"/>
      <c r="AJ75" s="804"/>
      <c r="AK75" s="804"/>
      <c r="AL75" s="804"/>
      <c r="AM75" s="804"/>
      <c r="AN75" s="13"/>
      <c r="AO75" s="645"/>
      <c r="AP75" s="645"/>
      <c r="AQ75" s="645"/>
      <c r="AR75" s="645"/>
      <c r="AS75" s="645"/>
      <c r="AT75" s="19"/>
    </row>
    <row r="76" spans="1:46" ht="1.5" customHeight="1" x14ac:dyDescent="0.2">
      <c r="A76" s="28"/>
      <c r="B76" s="14"/>
      <c r="C76" s="14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1"/>
      <c r="S76" s="10"/>
      <c r="T76" s="10"/>
      <c r="U76" s="10"/>
      <c r="V76" s="10"/>
      <c r="W76" s="24"/>
      <c r="X76" s="54"/>
      <c r="AO76" s="224"/>
      <c r="AP76" s="224"/>
      <c r="AQ76" s="224"/>
      <c r="AR76" s="224"/>
      <c r="AS76" s="224"/>
      <c r="AT76" s="19"/>
    </row>
    <row r="77" spans="1:46" ht="5.25" customHeight="1" x14ac:dyDescent="0.2">
      <c r="A77" s="799" t="s">
        <v>22</v>
      </c>
      <c r="B77" s="800"/>
      <c r="C77" s="800"/>
      <c r="D77" s="32"/>
      <c r="E77" s="349"/>
      <c r="F77" s="8"/>
      <c r="G77" s="804" t="s">
        <v>23</v>
      </c>
      <c r="H77" s="804"/>
      <c r="I77" s="804"/>
      <c r="J77" s="804"/>
      <c r="K77" s="804"/>
      <c r="L77" s="804"/>
      <c r="M77" s="804"/>
      <c r="N77" s="804"/>
      <c r="O77" s="804"/>
      <c r="P77" s="804"/>
      <c r="Q77" s="804"/>
      <c r="R77" s="804"/>
      <c r="S77" s="804"/>
      <c r="T77" s="8"/>
      <c r="U77" s="8"/>
      <c r="V77" s="8"/>
      <c r="W77" s="19"/>
      <c r="X77" s="54"/>
      <c r="Y77" s="804" t="s">
        <v>71</v>
      </c>
      <c r="Z77" s="804"/>
      <c r="AA77" s="804"/>
      <c r="AB77" s="804"/>
      <c r="AC77" s="804"/>
      <c r="AD77" s="804"/>
      <c r="AE77" s="804"/>
      <c r="AF77" s="804"/>
      <c r="AG77" s="804"/>
      <c r="AH77" s="804"/>
      <c r="AI77" s="804"/>
      <c r="AJ77" s="804"/>
      <c r="AK77" s="804"/>
      <c r="AL77" s="804"/>
      <c r="AM77" s="804"/>
      <c r="AN77" s="8"/>
      <c r="AO77" s="711"/>
      <c r="AP77" s="711"/>
      <c r="AQ77" s="711"/>
      <c r="AR77" s="711"/>
      <c r="AS77" s="711"/>
      <c r="AT77" s="19"/>
    </row>
    <row r="78" spans="1:46" ht="5.25" customHeight="1" x14ac:dyDescent="0.2">
      <c r="A78" s="799"/>
      <c r="B78" s="800"/>
      <c r="C78" s="800"/>
      <c r="D78" s="32"/>
      <c r="E78" s="394"/>
      <c r="F78" s="8"/>
      <c r="G78" s="804"/>
      <c r="H78" s="804"/>
      <c r="I78" s="804"/>
      <c r="J78" s="804"/>
      <c r="K78" s="804"/>
      <c r="L78" s="804"/>
      <c r="M78" s="804"/>
      <c r="N78" s="804"/>
      <c r="O78" s="804"/>
      <c r="P78" s="804"/>
      <c r="Q78" s="804"/>
      <c r="R78" s="804"/>
      <c r="S78" s="804"/>
      <c r="T78" s="8"/>
      <c r="U78" s="8"/>
      <c r="V78" s="8"/>
      <c r="W78" s="19"/>
      <c r="X78" s="54"/>
      <c r="Y78" s="804"/>
      <c r="Z78" s="804"/>
      <c r="AA78" s="804"/>
      <c r="AB78" s="804"/>
      <c r="AC78" s="804"/>
      <c r="AD78" s="804"/>
      <c r="AE78" s="804"/>
      <c r="AF78" s="804"/>
      <c r="AG78" s="804"/>
      <c r="AH78" s="804"/>
      <c r="AI78" s="804"/>
      <c r="AJ78" s="804"/>
      <c r="AK78" s="804"/>
      <c r="AL78" s="804"/>
      <c r="AM78" s="804"/>
      <c r="AN78" s="8"/>
      <c r="AO78" s="712"/>
      <c r="AP78" s="712"/>
      <c r="AQ78" s="712"/>
      <c r="AR78" s="712"/>
      <c r="AS78" s="712"/>
      <c r="AT78" s="19"/>
    </row>
    <row r="79" spans="1:46" ht="5.25" customHeight="1" x14ac:dyDescent="0.2">
      <c r="A79" s="799"/>
      <c r="B79" s="800"/>
      <c r="C79" s="800"/>
      <c r="D79" s="32"/>
      <c r="E79" s="13"/>
      <c r="F79" s="8"/>
      <c r="G79" s="804"/>
      <c r="H79" s="804"/>
      <c r="I79" s="804"/>
      <c r="J79" s="804"/>
      <c r="K79" s="804"/>
      <c r="L79" s="804"/>
      <c r="M79" s="804"/>
      <c r="N79" s="804"/>
      <c r="O79" s="804"/>
      <c r="P79" s="804"/>
      <c r="Q79" s="804"/>
      <c r="R79" s="804"/>
      <c r="S79" s="804"/>
      <c r="T79" s="8"/>
      <c r="U79" s="8"/>
      <c r="V79" s="8"/>
      <c r="W79" s="19"/>
      <c r="X79" s="54"/>
      <c r="Y79" s="804" t="s">
        <v>72</v>
      </c>
      <c r="Z79" s="804"/>
      <c r="AA79" s="804"/>
      <c r="AB79" s="804"/>
      <c r="AC79" s="804"/>
      <c r="AD79" s="804"/>
      <c r="AE79" s="804"/>
      <c r="AF79" s="804"/>
      <c r="AG79" s="804"/>
      <c r="AH79" s="804"/>
      <c r="AI79" s="804"/>
      <c r="AJ79" s="804"/>
      <c r="AK79" s="804"/>
      <c r="AL79" s="804"/>
      <c r="AM79" s="804"/>
      <c r="AO79" s="797"/>
      <c r="AP79" s="797"/>
      <c r="AQ79" s="797"/>
      <c r="AR79" s="797"/>
      <c r="AS79" s="797"/>
      <c r="AT79" s="19"/>
    </row>
    <row r="80" spans="1:46" ht="2.25" customHeight="1" x14ac:dyDescent="0.2">
      <c r="A80" s="801"/>
      <c r="B80" s="802"/>
      <c r="C80" s="802"/>
      <c r="D80" s="33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24"/>
      <c r="X80" s="54"/>
      <c r="Y80" s="804"/>
      <c r="Z80" s="804"/>
      <c r="AA80" s="804"/>
      <c r="AB80" s="804"/>
      <c r="AC80" s="804"/>
      <c r="AD80" s="804"/>
      <c r="AE80" s="804"/>
      <c r="AF80" s="804"/>
      <c r="AG80" s="804"/>
      <c r="AH80" s="804"/>
      <c r="AI80" s="804"/>
      <c r="AJ80" s="804"/>
      <c r="AK80" s="804"/>
      <c r="AL80" s="804"/>
      <c r="AM80" s="804"/>
      <c r="AO80" s="711"/>
      <c r="AP80" s="711"/>
      <c r="AQ80" s="711"/>
      <c r="AR80" s="711"/>
      <c r="AS80" s="711"/>
      <c r="AT80" s="19"/>
    </row>
    <row r="81" spans="1:46" ht="5.25" customHeight="1" x14ac:dyDescent="0.2">
      <c r="A81" s="760" t="s">
        <v>24</v>
      </c>
      <c r="B81" s="753"/>
      <c r="C81" s="753"/>
      <c r="D81" s="753"/>
      <c r="E81" s="753"/>
      <c r="F81" s="753"/>
      <c r="G81" s="791" t="s">
        <v>27</v>
      </c>
      <c r="H81" s="791"/>
      <c r="I81" s="791"/>
      <c r="J81" s="791"/>
      <c r="K81" s="791"/>
      <c r="L81" s="793" t="s">
        <v>28</v>
      </c>
      <c r="M81" s="793"/>
      <c r="N81" s="793"/>
      <c r="O81" s="793"/>
      <c r="P81" s="793" t="s">
        <v>29</v>
      </c>
      <c r="Q81" s="793"/>
      <c r="R81" s="793"/>
      <c r="S81" s="793"/>
      <c r="T81" s="793" t="s">
        <v>30</v>
      </c>
      <c r="U81" s="793"/>
      <c r="V81" s="793"/>
      <c r="W81" s="794"/>
      <c r="X81" s="54"/>
      <c r="Y81" s="804"/>
      <c r="Z81" s="804"/>
      <c r="AA81" s="804"/>
      <c r="AB81" s="804"/>
      <c r="AC81" s="804"/>
      <c r="AD81" s="804"/>
      <c r="AE81" s="804"/>
      <c r="AF81" s="804"/>
      <c r="AG81" s="804"/>
      <c r="AH81" s="804"/>
      <c r="AI81" s="804"/>
      <c r="AJ81" s="804"/>
      <c r="AK81" s="804"/>
      <c r="AL81" s="804"/>
      <c r="AM81" s="804"/>
      <c r="AO81" s="712"/>
      <c r="AP81" s="712"/>
      <c r="AQ81" s="712"/>
      <c r="AR81" s="712"/>
      <c r="AS81" s="712"/>
      <c r="AT81" s="19"/>
    </row>
    <row r="82" spans="1:46" ht="5.25" customHeight="1" x14ac:dyDescent="0.2">
      <c r="A82" s="761"/>
      <c r="B82" s="755"/>
      <c r="C82" s="755"/>
      <c r="D82" s="755"/>
      <c r="E82" s="755"/>
      <c r="F82" s="755"/>
      <c r="G82" s="792"/>
      <c r="H82" s="792"/>
      <c r="I82" s="792"/>
      <c r="J82" s="792"/>
      <c r="K82" s="792"/>
      <c r="L82" s="795"/>
      <c r="M82" s="795"/>
      <c r="N82" s="795"/>
      <c r="O82" s="795"/>
      <c r="P82" s="795"/>
      <c r="Q82" s="795"/>
      <c r="R82" s="795"/>
      <c r="S82" s="795"/>
      <c r="T82" s="795"/>
      <c r="U82" s="795"/>
      <c r="V82" s="795"/>
      <c r="W82" s="796"/>
      <c r="X82" s="54"/>
      <c r="Y82" s="804" t="s">
        <v>73</v>
      </c>
      <c r="Z82" s="804"/>
      <c r="AA82" s="804"/>
      <c r="AB82" s="804"/>
      <c r="AC82" s="804"/>
      <c r="AD82" s="804"/>
      <c r="AE82" s="804"/>
      <c r="AF82" s="804"/>
      <c r="AG82" s="804"/>
      <c r="AH82" s="804"/>
      <c r="AI82" s="804"/>
      <c r="AJ82" s="804"/>
      <c r="AK82" s="804"/>
      <c r="AL82" s="804"/>
      <c r="AM82" s="804"/>
      <c r="AO82" s="711"/>
      <c r="AP82" s="711"/>
      <c r="AQ82" s="711"/>
      <c r="AR82" s="711"/>
      <c r="AS82" s="711"/>
      <c r="AT82" s="19"/>
    </row>
    <row r="83" spans="1:46" ht="5.25" customHeight="1" x14ac:dyDescent="0.2">
      <c r="A83" s="761"/>
      <c r="B83" s="755"/>
      <c r="C83" s="755"/>
      <c r="D83" s="755"/>
      <c r="E83" s="755"/>
      <c r="F83" s="755"/>
      <c r="G83" s="792"/>
      <c r="H83" s="792"/>
      <c r="I83" s="792"/>
      <c r="J83" s="792"/>
      <c r="K83" s="792"/>
      <c r="L83" s="795"/>
      <c r="M83" s="795"/>
      <c r="N83" s="795"/>
      <c r="O83" s="795"/>
      <c r="P83" s="795"/>
      <c r="Q83" s="795"/>
      <c r="R83" s="795"/>
      <c r="S83" s="795"/>
      <c r="T83" s="795"/>
      <c r="U83" s="795"/>
      <c r="V83" s="795"/>
      <c r="W83" s="796"/>
      <c r="X83" s="54">
        <v>2360</v>
      </c>
      <c r="Y83" s="804"/>
      <c r="Z83" s="804"/>
      <c r="AA83" s="804"/>
      <c r="AB83" s="804"/>
      <c r="AC83" s="804"/>
      <c r="AD83" s="804"/>
      <c r="AE83" s="804"/>
      <c r="AF83" s="804"/>
      <c r="AG83" s="804"/>
      <c r="AH83" s="804"/>
      <c r="AI83" s="804"/>
      <c r="AJ83" s="804"/>
      <c r="AK83" s="804"/>
      <c r="AL83" s="804"/>
      <c r="AM83" s="804"/>
      <c r="AO83" s="712"/>
      <c r="AP83" s="712"/>
      <c r="AQ83" s="712"/>
      <c r="AR83" s="712"/>
      <c r="AS83" s="712"/>
      <c r="AT83" s="19"/>
    </row>
    <row r="84" spans="1:46" ht="5.25" customHeight="1" x14ac:dyDescent="0.2">
      <c r="A84" s="761" t="s">
        <v>175</v>
      </c>
      <c r="B84" s="755"/>
      <c r="C84" s="755"/>
      <c r="D84" s="755" t="s">
        <v>176</v>
      </c>
      <c r="E84" s="755"/>
      <c r="F84" s="755"/>
      <c r="G84" s="792"/>
      <c r="H84" s="792"/>
      <c r="I84" s="792"/>
      <c r="J84" s="792"/>
      <c r="K84" s="792"/>
      <c r="L84" s="795"/>
      <c r="M84" s="795"/>
      <c r="N84" s="795"/>
      <c r="O84" s="795"/>
      <c r="P84" s="795"/>
      <c r="Q84" s="795"/>
      <c r="R84" s="795"/>
      <c r="S84" s="795"/>
      <c r="T84" s="795"/>
      <c r="U84" s="795"/>
      <c r="V84" s="795"/>
      <c r="W84" s="796"/>
      <c r="X84" s="54">
        <v>2000</v>
      </c>
      <c r="Y84" s="804" t="s">
        <v>74</v>
      </c>
      <c r="Z84" s="804"/>
      <c r="AA84" s="804"/>
      <c r="AB84" s="804"/>
      <c r="AC84" s="804"/>
      <c r="AD84" s="804"/>
      <c r="AE84" s="804"/>
      <c r="AF84" s="804"/>
      <c r="AG84" s="804"/>
      <c r="AH84" s="804"/>
      <c r="AI84" s="804"/>
      <c r="AJ84" s="804"/>
      <c r="AK84" s="804"/>
      <c r="AL84" s="804"/>
      <c r="AM84" s="804"/>
      <c r="AO84" s="644"/>
      <c r="AP84" s="644"/>
      <c r="AQ84" s="644"/>
      <c r="AR84" s="644"/>
      <c r="AS84" s="644"/>
      <c r="AT84" s="19"/>
    </row>
    <row r="85" spans="1:46" ht="5.25" customHeight="1" x14ac:dyDescent="0.2">
      <c r="A85" s="761"/>
      <c r="B85" s="755"/>
      <c r="C85" s="755"/>
      <c r="D85" s="755"/>
      <c r="E85" s="755"/>
      <c r="F85" s="755"/>
      <c r="G85" s="792"/>
      <c r="H85" s="792"/>
      <c r="I85" s="792"/>
      <c r="J85" s="792"/>
      <c r="K85" s="792"/>
      <c r="L85" s="795"/>
      <c r="M85" s="795"/>
      <c r="N85" s="795"/>
      <c r="O85" s="795"/>
      <c r="P85" s="795"/>
      <c r="Q85" s="795"/>
      <c r="R85" s="795"/>
      <c r="S85" s="795"/>
      <c r="T85" s="795"/>
      <c r="U85" s="795"/>
      <c r="V85" s="795"/>
      <c r="W85" s="796"/>
      <c r="X85" s="54">
        <v>1180</v>
      </c>
      <c r="Y85" s="804"/>
      <c r="Z85" s="804"/>
      <c r="AA85" s="804"/>
      <c r="AB85" s="804"/>
      <c r="AC85" s="804"/>
      <c r="AD85" s="804"/>
      <c r="AE85" s="804"/>
      <c r="AF85" s="804"/>
      <c r="AG85" s="804"/>
      <c r="AH85" s="804"/>
      <c r="AI85" s="804"/>
      <c r="AJ85" s="804"/>
      <c r="AK85" s="804"/>
      <c r="AL85" s="804"/>
      <c r="AM85" s="804"/>
      <c r="AO85" s="645"/>
      <c r="AP85" s="645"/>
      <c r="AQ85" s="645"/>
      <c r="AR85" s="645"/>
      <c r="AS85" s="645"/>
      <c r="AT85" s="19"/>
    </row>
    <row r="86" spans="1:46" ht="5.25" customHeight="1" x14ac:dyDescent="0.2">
      <c r="A86" s="823"/>
      <c r="B86" s="824"/>
      <c r="C86" s="824"/>
      <c r="D86" s="824"/>
      <c r="E86" s="824"/>
      <c r="F86" s="824"/>
      <c r="G86" s="857"/>
      <c r="H86" s="857"/>
      <c r="I86" s="857"/>
      <c r="J86" s="857"/>
      <c r="K86" s="857"/>
      <c r="L86" s="858"/>
      <c r="M86" s="858"/>
      <c r="N86" s="858"/>
      <c r="O86" s="858"/>
      <c r="P86" s="858"/>
      <c r="Q86" s="858"/>
      <c r="R86" s="858"/>
      <c r="S86" s="858"/>
      <c r="T86" s="858"/>
      <c r="U86" s="858"/>
      <c r="V86" s="858"/>
      <c r="W86" s="876"/>
      <c r="X86" s="54">
        <v>600</v>
      </c>
      <c r="Y86" s="804" t="s">
        <v>75</v>
      </c>
      <c r="Z86" s="804"/>
      <c r="AA86" s="804"/>
      <c r="AB86" s="804"/>
      <c r="AC86" s="804"/>
      <c r="AD86" s="804"/>
      <c r="AE86" s="804"/>
      <c r="AF86" s="804"/>
      <c r="AG86" s="804"/>
      <c r="AH86" s="804"/>
      <c r="AI86" s="804"/>
      <c r="AJ86" s="804"/>
      <c r="AK86" s="804"/>
      <c r="AL86" s="804"/>
      <c r="AM86" s="804"/>
      <c r="AN86" s="8"/>
      <c r="AO86" s="711"/>
      <c r="AP86" s="711"/>
      <c r="AQ86" s="711"/>
      <c r="AR86" s="711"/>
      <c r="AS86" s="711"/>
      <c r="AT86" s="19"/>
    </row>
    <row r="87" spans="1:46" ht="5.25" customHeight="1" x14ac:dyDescent="0.2">
      <c r="A87" s="902">
        <v>2.36</v>
      </c>
      <c r="B87" s="758"/>
      <c r="C87" s="758"/>
      <c r="D87" s="827">
        <v>8</v>
      </c>
      <c r="E87" s="827"/>
      <c r="F87" s="827"/>
      <c r="G87" s="854"/>
      <c r="H87" s="854"/>
      <c r="I87" s="854"/>
      <c r="J87" s="854"/>
      <c r="K87" s="854"/>
      <c r="L87" s="842" t="str">
        <f>IFERROR(G87/($G$123)*100 *IF(U34="C",L65/100,1),"")</f>
        <v/>
      </c>
      <c r="M87" s="843"/>
      <c r="N87" s="843"/>
      <c r="O87" s="844"/>
      <c r="P87" s="851" t="str">
        <f>IFERROR(P62+L87,"")</f>
        <v/>
      </c>
      <c r="Q87" s="851"/>
      <c r="R87" s="851"/>
      <c r="S87" s="851"/>
      <c r="T87" s="851" t="str">
        <f>IFERROR(100-P87,"")</f>
        <v/>
      </c>
      <c r="U87" s="851"/>
      <c r="V87" s="851"/>
      <c r="W87" s="877"/>
      <c r="X87" s="54">
        <v>425</v>
      </c>
      <c r="Y87" s="804"/>
      <c r="Z87" s="804"/>
      <c r="AA87" s="804"/>
      <c r="AB87" s="804"/>
      <c r="AC87" s="804"/>
      <c r="AD87" s="804"/>
      <c r="AE87" s="804"/>
      <c r="AF87" s="804"/>
      <c r="AG87" s="804"/>
      <c r="AH87" s="804"/>
      <c r="AI87" s="804"/>
      <c r="AJ87" s="804"/>
      <c r="AK87" s="804"/>
      <c r="AL87" s="804"/>
      <c r="AM87" s="804"/>
      <c r="AN87" s="8"/>
      <c r="AO87" s="712"/>
      <c r="AP87" s="712"/>
      <c r="AQ87" s="712"/>
      <c r="AR87" s="712"/>
      <c r="AS87" s="712"/>
      <c r="AT87" s="19"/>
    </row>
    <row r="88" spans="1:46" ht="5.25" customHeight="1" x14ac:dyDescent="0.2">
      <c r="A88" s="902"/>
      <c r="B88" s="758"/>
      <c r="C88" s="758"/>
      <c r="D88" s="827"/>
      <c r="E88" s="827"/>
      <c r="F88" s="827"/>
      <c r="G88" s="855"/>
      <c r="H88" s="855"/>
      <c r="I88" s="855"/>
      <c r="J88" s="855"/>
      <c r="K88" s="855"/>
      <c r="L88" s="845"/>
      <c r="M88" s="846"/>
      <c r="N88" s="846"/>
      <c r="O88" s="847"/>
      <c r="P88" s="852"/>
      <c r="Q88" s="852"/>
      <c r="R88" s="852"/>
      <c r="S88" s="852"/>
      <c r="T88" s="852"/>
      <c r="U88" s="852"/>
      <c r="V88" s="852"/>
      <c r="W88" s="878"/>
      <c r="X88" s="54">
        <v>300</v>
      </c>
      <c r="Y88" s="804" t="s">
        <v>76</v>
      </c>
      <c r="Z88" s="804"/>
      <c r="AA88" s="804"/>
      <c r="AB88" s="804"/>
      <c r="AC88" s="804"/>
      <c r="AD88" s="804"/>
      <c r="AE88" s="804"/>
      <c r="AF88" s="804"/>
      <c r="AG88" s="804"/>
      <c r="AH88" s="804"/>
      <c r="AI88" s="804"/>
      <c r="AJ88" s="804"/>
      <c r="AK88" s="804"/>
      <c r="AL88" s="804"/>
      <c r="AM88" s="804"/>
      <c r="AN88" s="8"/>
      <c r="AO88" s="711"/>
      <c r="AP88" s="711"/>
      <c r="AQ88" s="711"/>
      <c r="AR88" s="711"/>
      <c r="AS88" s="711"/>
      <c r="AT88" s="19"/>
    </row>
    <row r="89" spans="1:46" ht="5.25" customHeight="1" x14ac:dyDescent="0.2">
      <c r="A89" s="903"/>
      <c r="B89" s="904"/>
      <c r="C89" s="904"/>
      <c r="D89" s="829"/>
      <c r="E89" s="829"/>
      <c r="F89" s="829"/>
      <c r="G89" s="856"/>
      <c r="H89" s="856"/>
      <c r="I89" s="856"/>
      <c r="J89" s="856"/>
      <c r="K89" s="856"/>
      <c r="L89" s="848"/>
      <c r="M89" s="849"/>
      <c r="N89" s="849"/>
      <c r="O89" s="850"/>
      <c r="P89" s="853"/>
      <c r="Q89" s="853"/>
      <c r="R89" s="853"/>
      <c r="S89" s="853"/>
      <c r="T89" s="853"/>
      <c r="U89" s="853"/>
      <c r="V89" s="853"/>
      <c r="W89" s="879"/>
      <c r="X89" s="54">
        <v>180</v>
      </c>
      <c r="Y89" s="804"/>
      <c r="Z89" s="804"/>
      <c r="AA89" s="804"/>
      <c r="AB89" s="804"/>
      <c r="AC89" s="804"/>
      <c r="AD89" s="804"/>
      <c r="AE89" s="804"/>
      <c r="AF89" s="804"/>
      <c r="AG89" s="804"/>
      <c r="AH89" s="804"/>
      <c r="AI89" s="804"/>
      <c r="AJ89" s="804"/>
      <c r="AK89" s="804"/>
      <c r="AL89" s="804"/>
      <c r="AM89" s="804"/>
      <c r="AN89" s="8"/>
      <c r="AO89" s="712"/>
      <c r="AP89" s="712"/>
      <c r="AQ89" s="712"/>
      <c r="AR89" s="712"/>
      <c r="AS89" s="712"/>
      <c r="AT89" s="19"/>
    </row>
    <row r="90" spans="1:46" ht="5.25" customHeight="1" x14ac:dyDescent="0.2">
      <c r="A90" s="901">
        <v>2</v>
      </c>
      <c r="B90" s="756"/>
      <c r="C90" s="756"/>
      <c r="D90" s="825">
        <v>10</v>
      </c>
      <c r="E90" s="825"/>
      <c r="F90" s="826"/>
      <c r="G90" s="854"/>
      <c r="H90" s="854"/>
      <c r="I90" s="854"/>
      <c r="J90" s="854"/>
      <c r="K90" s="854"/>
      <c r="L90" s="842" t="str">
        <f>IFERROR(G90/($G$123)*100*IF(U34="C",L65/100,1),"")</f>
        <v/>
      </c>
      <c r="M90" s="843"/>
      <c r="N90" s="843"/>
      <c r="O90" s="844"/>
      <c r="P90" s="851" t="str">
        <f>IFERROR(P87+L90,"")</f>
        <v/>
      </c>
      <c r="Q90" s="851"/>
      <c r="R90" s="851"/>
      <c r="S90" s="851"/>
      <c r="T90" s="851" t="str">
        <f>IFERROR(100-P90,"")</f>
        <v/>
      </c>
      <c r="U90" s="851"/>
      <c r="V90" s="851"/>
      <c r="W90" s="877"/>
      <c r="X90" s="54">
        <v>150</v>
      </c>
      <c r="Y90" s="804" t="s">
        <v>77</v>
      </c>
      <c r="Z90" s="804"/>
      <c r="AA90" s="804"/>
      <c r="AB90" s="804"/>
      <c r="AC90" s="804"/>
      <c r="AD90" s="804"/>
      <c r="AE90" s="804"/>
      <c r="AF90" s="804"/>
      <c r="AG90" s="804"/>
      <c r="AH90" s="804"/>
      <c r="AI90" s="804"/>
      <c r="AJ90" s="804"/>
      <c r="AK90" s="804"/>
      <c r="AL90" s="804"/>
      <c r="AM90" s="804"/>
      <c r="AN90" s="8"/>
      <c r="AO90" s="644"/>
      <c r="AP90" s="644"/>
      <c r="AQ90" s="644"/>
      <c r="AR90" s="644"/>
      <c r="AS90" s="644"/>
      <c r="AT90" s="19"/>
    </row>
    <row r="91" spans="1:46" ht="5.25" customHeight="1" x14ac:dyDescent="0.2">
      <c r="A91" s="902"/>
      <c r="B91" s="758"/>
      <c r="C91" s="758"/>
      <c r="D91" s="827"/>
      <c r="E91" s="827"/>
      <c r="F91" s="828"/>
      <c r="G91" s="855"/>
      <c r="H91" s="855"/>
      <c r="I91" s="855"/>
      <c r="J91" s="855"/>
      <c r="K91" s="855"/>
      <c r="L91" s="845"/>
      <c r="M91" s="846"/>
      <c r="N91" s="846"/>
      <c r="O91" s="847"/>
      <c r="P91" s="852"/>
      <c r="Q91" s="852"/>
      <c r="R91" s="852"/>
      <c r="S91" s="852"/>
      <c r="T91" s="852"/>
      <c r="U91" s="852"/>
      <c r="V91" s="852"/>
      <c r="W91" s="878"/>
      <c r="X91" s="54">
        <v>75</v>
      </c>
      <c r="Y91" s="804"/>
      <c r="Z91" s="804"/>
      <c r="AA91" s="804"/>
      <c r="AB91" s="804"/>
      <c r="AC91" s="804"/>
      <c r="AD91" s="804"/>
      <c r="AE91" s="804"/>
      <c r="AF91" s="804"/>
      <c r="AG91" s="804"/>
      <c r="AH91" s="804"/>
      <c r="AI91" s="804"/>
      <c r="AJ91" s="804"/>
      <c r="AK91" s="804"/>
      <c r="AL91" s="804"/>
      <c r="AM91" s="804"/>
      <c r="AN91" s="8"/>
      <c r="AO91" s="645"/>
      <c r="AP91" s="645"/>
      <c r="AQ91" s="645"/>
      <c r="AR91" s="645"/>
      <c r="AS91" s="645"/>
      <c r="AT91" s="19"/>
    </row>
    <row r="92" spans="1:46" ht="5.25" customHeight="1" x14ac:dyDescent="0.2">
      <c r="A92" s="903"/>
      <c r="B92" s="904"/>
      <c r="C92" s="904"/>
      <c r="D92" s="829"/>
      <c r="E92" s="829"/>
      <c r="F92" s="830"/>
      <c r="G92" s="856"/>
      <c r="H92" s="856"/>
      <c r="I92" s="856"/>
      <c r="J92" s="856"/>
      <c r="K92" s="856"/>
      <c r="L92" s="848"/>
      <c r="M92" s="849"/>
      <c r="N92" s="849"/>
      <c r="O92" s="850"/>
      <c r="P92" s="853"/>
      <c r="Q92" s="853"/>
      <c r="R92" s="853"/>
      <c r="S92" s="853"/>
      <c r="T92" s="853"/>
      <c r="U92" s="853"/>
      <c r="V92" s="853"/>
      <c r="W92" s="879"/>
      <c r="X92" s="54">
        <v>53</v>
      </c>
      <c r="Y92" s="804" t="s">
        <v>78</v>
      </c>
      <c r="Z92" s="804"/>
      <c r="AA92" s="804"/>
      <c r="AB92" s="804"/>
      <c r="AC92" s="804"/>
      <c r="AD92" s="804"/>
      <c r="AE92" s="804"/>
      <c r="AF92" s="804"/>
      <c r="AG92" s="804"/>
      <c r="AH92" s="804"/>
      <c r="AI92" s="804"/>
      <c r="AJ92" s="804"/>
      <c r="AK92" s="804"/>
      <c r="AL92" s="804"/>
      <c r="AM92" s="804"/>
      <c r="AN92" s="8"/>
      <c r="AO92" s="797"/>
      <c r="AP92" s="797"/>
      <c r="AQ92" s="797"/>
      <c r="AR92" s="797"/>
      <c r="AS92" s="797"/>
      <c r="AT92" s="19"/>
    </row>
    <row r="93" spans="1:46" ht="5.25" customHeight="1" x14ac:dyDescent="0.2">
      <c r="A93" s="901">
        <v>1.18</v>
      </c>
      <c r="B93" s="756"/>
      <c r="C93" s="756"/>
      <c r="D93" s="825">
        <v>16</v>
      </c>
      <c r="E93" s="825"/>
      <c r="F93" s="826"/>
      <c r="G93" s="854"/>
      <c r="H93" s="854"/>
      <c r="I93" s="854"/>
      <c r="J93" s="854"/>
      <c r="K93" s="854"/>
      <c r="L93" s="842" t="str">
        <f>IFERROR(G93/($G$123)*100*IF(U34="C",L65/100,1),"")</f>
        <v/>
      </c>
      <c r="M93" s="843"/>
      <c r="N93" s="843"/>
      <c r="O93" s="844"/>
      <c r="P93" s="851" t="str">
        <f>IFERROR(P90+L93,"")</f>
        <v/>
      </c>
      <c r="Q93" s="851"/>
      <c r="R93" s="851"/>
      <c r="S93" s="851"/>
      <c r="T93" s="851" t="str">
        <f>IFERROR(100-P93,"")</f>
        <v/>
      </c>
      <c r="U93" s="851"/>
      <c r="V93" s="851"/>
      <c r="W93" s="877"/>
      <c r="X93" s="54"/>
      <c r="Y93" s="804"/>
      <c r="Z93" s="804"/>
      <c r="AA93" s="804"/>
      <c r="AB93" s="804"/>
      <c r="AC93" s="804"/>
      <c r="AD93" s="804"/>
      <c r="AE93" s="804"/>
      <c r="AF93" s="804"/>
      <c r="AG93" s="804"/>
      <c r="AH93" s="804"/>
      <c r="AI93" s="804"/>
      <c r="AJ93" s="804"/>
      <c r="AK93" s="804"/>
      <c r="AL93" s="804"/>
      <c r="AM93" s="804"/>
      <c r="AN93" s="8"/>
      <c r="AO93" s="711"/>
      <c r="AP93" s="711"/>
      <c r="AQ93" s="711"/>
      <c r="AR93" s="711"/>
      <c r="AS93" s="711"/>
      <c r="AT93" s="19"/>
    </row>
    <row r="94" spans="1:46" ht="5.25" customHeight="1" x14ac:dyDescent="0.2">
      <c r="A94" s="902"/>
      <c r="B94" s="758"/>
      <c r="C94" s="758"/>
      <c r="D94" s="827"/>
      <c r="E94" s="827"/>
      <c r="F94" s="828"/>
      <c r="G94" s="855"/>
      <c r="H94" s="855"/>
      <c r="I94" s="855"/>
      <c r="J94" s="855"/>
      <c r="K94" s="855"/>
      <c r="L94" s="845"/>
      <c r="M94" s="846"/>
      <c r="N94" s="846"/>
      <c r="O94" s="847"/>
      <c r="P94" s="852"/>
      <c r="Q94" s="852"/>
      <c r="R94" s="852"/>
      <c r="S94" s="852"/>
      <c r="T94" s="852"/>
      <c r="U94" s="852"/>
      <c r="V94" s="852"/>
      <c r="W94" s="878"/>
      <c r="X94" s="54"/>
      <c r="AA94" s="804" t="s">
        <v>79</v>
      </c>
      <c r="AB94" s="804"/>
      <c r="AC94" s="804"/>
      <c r="AD94" s="804"/>
      <c r="AE94" s="804"/>
      <c r="AF94" s="804"/>
      <c r="AG94" s="804"/>
      <c r="AH94" s="804"/>
      <c r="AI94" s="804"/>
      <c r="AJ94" s="804"/>
      <c r="AK94" s="804"/>
      <c r="AL94" s="804"/>
      <c r="AM94" s="804"/>
      <c r="AN94" s="8"/>
      <c r="AO94" s="711"/>
      <c r="AP94" s="711"/>
      <c r="AQ94" s="711"/>
      <c r="AR94" s="711"/>
      <c r="AS94" s="711"/>
      <c r="AT94" s="19"/>
    </row>
    <row r="95" spans="1:46" ht="5.25" customHeight="1" x14ac:dyDescent="0.2">
      <c r="A95" s="903"/>
      <c r="B95" s="904"/>
      <c r="C95" s="904"/>
      <c r="D95" s="829"/>
      <c r="E95" s="829"/>
      <c r="F95" s="830"/>
      <c r="G95" s="856"/>
      <c r="H95" s="856"/>
      <c r="I95" s="856"/>
      <c r="J95" s="856"/>
      <c r="K95" s="856"/>
      <c r="L95" s="848"/>
      <c r="M95" s="849"/>
      <c r="N95" s="849"/>
      <c r="O95" s="850"/>
      <c r="P95" s="853"/>
      <c r="Q95" s="853"/>
      <c r="R95" s="853"/>
      <c r="S95" s="853"/>
      <c r="T95" s="853"/>
      <c r="U95" s="853"/>
      <c r="V95" s="853"/>
      <c r="W95" s="879"/>
      <c r="X95" s="56" t="str">
        <f>T87</f>
        <v/>
      </c>
      <c r="Y95" s="25"/>
      <c r="Z95" s="25"/>
      <c r="AA95" s="804"/>
      <c r="AB95" s="804"/>
      <c r="AC95" s="804"/>
      <c r="AD95" s="804"/>
      <c r="AE95" s="804"/>
      <c r="AF95" s="804"/>
      <c r="AG95" s="804"/>
      <c r="AH95" s="804"/>
      <c r="AI95" s="804"/>
      <c r="AJ95" s="804"/>
      <c r="AK95" s="804"/>
      <c r="AL95" s="804"/>
      <c r="AM95" s="804"/>
      <c r="AN95" s="8"/>
      <c r="AO95" s="712"/>
      <c r="AP95" s="712"/>
      <c r="AQ95" s="712"/>
      <c r="AR95" s="712"/>
      <c r="AS95" s="712"/>
      <c r="AT95" s="19"/>
    </row>
    <row r="96" spans="1:46" ht="5.25" customHeight="1" x14ac:dyDescent="0.2">
      <c r="A96" s="898">
        <v>600</v>
      </c>
      <c r="B96" s="825"/>
      <c r="C96" s="825"/>
      <c r="D96" s="825">
        <v>30</v>
      </c>
      <c r="E96" s="825"/>
      <c r="F96" s="826"/>
      <c r="G96" s="854"/>
      <c r="H96" s="854"/>
      <c r="I96" s="854"/>
      <c r="J96" s="854"/>
      <c r="K96" s="854"/>
      <c r="L96" s="842" t="str">
        <f>IFERROR(G96/($G$123)*100*IF(U34="C",L65/100,1),"")</f>
        <v/>
      </c>
      <c r="M96" s="843"/>
      <c r="N96" s="843"/>
      <c r="O96" s="844"/>
      <c r="P96" s="851" t="str">
        <f>IFERROR(P93+L96,"")</f>
        <v/>
      </c>
      <c r="Q96" s="851"/>
      <c r="R96" s="851"/>
      <c r="S96" s="851"/>
      <c r="T96" s="851" t="str">
        <f>IFERROR(100-P96,"")</f>
        <v/>
      </c>
      <c r="U96" s="851"/>
      <c r="V96" s="851"/>
      <c r="W96" s="877"/>
      <c r="X96" s="56" t="str">
        <f>T90</f>
        <v/>
      </c>
      <c r="Y96" s="804" t="s">
        <v>80</v>
      </c>
      <c r="Z96" s="804"/>
      <c r="AA96" s="804"/>
      <c r="AB96" s="804"/>
      <c r="AC96" s="804"/>
      <c r="AD96" s="804"/>
      <c r="AE96" s="804"/>
      <c r="AF96" s="804"/>
      <c r="AG96" s="804"/>
      <c r="AH96" s="804"/>
      <c r="AI96" s="804"/>
      <c r="AJ96" s="804"/>
      <c r="AK96" s="804"/>
      <c r="AL96" s="804"/>
      <c r="AM96" s="804"/>
      <c r="AN96" s="8"/>
      <c r="AO96" s="276"/>
      <c r="AP96" s="276"/>
      <c r="AQ96" s="276"/>
      <c r="AR96" s="276"/>
      <c r="AS96" s="276"/>
      <c r="AT96" s="19"/>
    </row>
    <row r="97" spans="1:46" ht="5.25" customHeight="1" x14ac:dyDescent="0.2">
      <c r="A97" s="899"/>
      <c r="B97" s="827"/>
      <c r="C97" s="827"/>
      <c r="D97" s="827"/>
      <c r="E97" s="827"/>
      <c r="F97" s="828"/>
      <c r="G97" s="855"/>
      <c r="H97" s="855"/>
      <c r="I97" s="855"/>
      <c r="J97" s="855"/>
      <c r="K97" s="855"/>
      <c r="L97" s="845"/>
      <c r="M97" s="846"/>
      <c r="N97" s="846"/>
      <c r="O97" s="847"/>
      <c r="P97" s="852"/>
      <c r="Q97" s="852"/>
      <c r="R97" s="852"/>
      <c r="S97" s="852"/>
      <c r="T97" s="852"/>
      <c r="U97" s="852"/>
      <c r="V97" s="852"/>
      <c r="W97" s="878"/>
      <c r="X97" s="56" t="str">
        <f>T93</f>
        <v/>
      </c>
      <c r="Y97" s="804"/>
      <c r="Z97" s="804"/>
      <c r="AA97" s="804"/>
      <c r="AB97" s="804"/>
      <c r="AC97" s="804"/>
      <c r="AD97" s="804"/>
      <c r="AE97" s="804"/>
      <c r="AF97" s="804"/>
      <c r="AG97" s="804"/>
      <c r="AH97" s="804"/>
      <c r="AI97" s="804"/>
      <c r="AJ97" s="804"/>
      <c r="AK97" s="804"/>
      <c r="AL97" s="804"/>
      <c r="AM97" s="804"/>
      <c r="AN97" s="8"/>
      <c r="AO97" s="279"/>
      <c r="AP97" s="279"/>
      <c r="AQ97" s="279"/>
      <c r="AR97" s="279"/>
      <c r="AS97" s="279"/>
      <c r="AT97" s="19"/>
    </row>
    <row r="98" spans="1:46" ht="5.25" customHeight="1" x14ac:dyDescent="0.2">
      <c r="A98" s="900"/>
      <c r="B98" s="829"/>
      <c r="C98" s="829"/>
      <c r="D98" s="829"/>
      <c r="E98" s="829"/>
      <c r="F98" s="830"/>
      <c r="G98" s="856"/>
      <c r="H98" s="856"/>
      <c r="I98" s="856"/>
      <c r="J98" s="856"/>
      <c r="K98" s="856"/>
      <c r="L98" s="848"/>
      <c r="M98" s="849"/>
      <c r="N98" s="849"/>
      <c r="O98" s="850"/>
      <c r="P98" s="853"/>
      <c r="Q98" s="853"/>
      <c r="R98" s="853"/>
      <c r="S98" s="853"/>
      <c r="T98" s="853"/>
      <c r="U98" s="853"/>
      <c r="V98" s="853"/>
      <c r="W98" s="879"/>
      <c r="X98" s="56" t="str">
        <f>T96</f>
        <v/>
      </c>
      <c r="Y98" s="804" t="s">
        <v>81</v>
      </c>
      <c r="Z98" s="804"/>
      <c r="AA98" s="804"/>
      <c r="AB98" s="804"/>
      <c r="AC98" s="804"/>
      <c r="AD98" s="804"/>
      <c r="AE98" s="804"/>
      <c r="AF98" s="804"/>
      <c r="AG98" s="804"/>
      <c r="AH98" s="804"/>
      <c r="AI98" s="804"/>
      <c r="AJ98" s="804"/>
      <c r="AK98" s="804"/>
      <c r="AL98" s="804"/>
      <c r="AM98" s="804"/>
      <c r="AN98" s="8"/>
      <c r="AO98" s="276"/>
      <c r="AP98" s="276"/>
      <c r="AQ98" s="276"/>
      <c r="AR98" s="276"/>
      <c r="AS98" s="276"/>
      <c r="AT98" s="19"/>
    </row>
    <row r="99" spans="1:46" ht="5.25" customHeight="1" x14ac:dyDescent="0.2">
      <c r="A99" s="898">
        <v>425</v>
      </c>
      <c r="B99" s="825"/>
      <c r="C99" s="825"/>
      <c r="D99" s="825">
        <v>40</v>
      </c>
      <c r="E99" s="825"/>
      <c r="F99" s="826"/>
      <c r="G99" s="854"/>
      <c r="H99" s="854"/>
      <c r="I99" s="854"/>
      <c r="J99" s="854"/>
      <c r="K99" s="854"/>
      <c r="L99" s="842" t="str">
        <f>IFERROR(G99/($G$123)*100*IF(U34="C",L65/100,1),"")</f>
        <v/>
      </c>
      <c r="M99" s="843"/>
      <c r="N99" s="843"/>
      <c r="O99" s="844"/>
      <c r="P99" s="851" t="str">
        <f>IFERROR(P96+L99,"")</f>
        <v/>
      </c>
      <c r="Q99" s="851"/>
      <c r="R99" s="851"/>
      <c r="S99" s="851"/>
      <c r="T99" s="851" t="str">
        <f>IFERROR(100-P99,"")</f>
        <v/>
      </c>
      <c r="U99" s="851"/>
      <c r="V99" s="851"/>
      <c r="W99" s="877"/>
      <c r="X99" s="56" t="str">
        <f>T99</f>
        <v/>
      </c>
      <c r="Y99" s="804"/>
      <c r="Z99" s="804"/>
      <c r="AA99" s="804"/>
      <c r="AB99" s="804"/>
      <c r="AC99" s="804"/>
      <c r="AD99" s="804"/>
      <c r="AE99" s="804"/>
      <c r="AF99" s="804"/>
      <c r="AG99" s="804"/>
      <c r="AH99" s="804"/>
      <c r="AI99" s="804"/>
      <c r="AJ99" s="804"/>
      <c r="AK99" s="804"/>
      <c r="AL99" s="804"/>
      <c r="AM99" s="804"/>
      <c r="AN99" s="8"/>
      <c r="AO99" s="279"/>
      <c r="AP99" s="279"/>
      <c r="AQ99" s="279"/>
      <c r="AR99" s="279"/>
      <c r="AS99" s="279"/>
      <c r="AT99" s="19"/>
    </row>
    <row r="100" spans="1:46" ht="5.25" customHeight="1" x14ac:dyDescent="0.2">
      <c r="A100" s="899"/>
      <c r="B100" s="827"/>
      <c r="C100" s="827"/>
      <c r="D100" s="827"/>
      <c r="E100" s="827"/>
      <c r="F100" s="828"/>
      <c r="G100" s="855"/>
      <c r="H100" s="855"/>
      <c r="I100" s="855"/>
      <c r="J100" s="855"/>
      <c r="K100" s="855"/>
      <c r="L100" s="845"/>
      <c r="M100" s="846"/>
      <c r="N100" s="846"/>
      <c r="O100" s="847"/>
      <c r="P100" s="852"/>
      <c r="Q100" s="852"/>
      <c r="R100" s="852"/>
      <c r="S100" s="852"/>
      <c r="T100" s="852"/>
      <c r="U100" s="852"/>
      <c r="V100" s="852"/>
      <c r="W100" s="878"/>
      <c r="X100" s="56" t="str">
        <f>T102</f>
        <v/>
      </c>
      <c r="Y100" s="804" t="s">
        <v>82</v>
      </c>
      <c r="Z100" s="804"/>
      <c r="AA100" s="804"/>
      <c r="AB100" s="804"/>
      <c r="AC100" s="804"/>
      <c r="AD100" s="804"/>
      <c r="AE100" s="804"/>
      <c r="AF100" s="804"/>
      <c r="AG100" s="804"/>
      <c r="AH100" s="804"/>
      <c r="AI100" s="804"/>
      <c r="AJ100" s="804"/>
      <c r="AK100" s="804"/>
      <c r="AL100" s="804"/>
      <c r="AM100" s="804"/>
      <c r="AN100" s="8"/>
      <c r="AO100" s="711"/>
      <c r="AP100" s="711"/>
      <c r="AQ100" s="711"/>
      <c r="AR100" s="711"/>
      <c r="AS100" s="711"/>
      <c r="AT100" s="19"/>
    </row>
    <row r="101" spans="1:46" ht="5.25" customHeight="1" x14ac:dyDescent="0.2">
      <c r="A101" s="900"/>
      <c r="B101" s="829"/>
      <c r="C101" s="829"/>
      <c r="D101" s="829"/>
      <c r="E101" s="829"/>
      <c r="F101" s="830"/>
      <c r="G101" s="856"/>
      <c r="H101" s="856"/>
      <c r="I101" s="856"/>
      <c r="J101" s="856"/>
      <c r="K101" s="856"/>
      <c r="L101" s="848"/>
      <c r="M101" s="849"/>
      <c r="N101" s="849"/>
      <c r="O101" s="850"/>
      <c r="P101" s="853"/>
      <c r="Q101" s="853"/>
      <c r="R101" s="853"/>
      <c r="S101" s="853"/>
      <c r="T101" s="853"/>
      <c r="U101" s="853"/>
      <c r="V101" s="853"/>
      <c r="W101" s="879"/>
      <c r="X101" s="56" t="str">
        <f>T105</f>
        <v/>
      </c>
      <c r="Y101" s="804"/>
      <c r="Z101" s="804"/>
      <c r="AA101" s="804"/>
      <c r="AB101" s="804"/>
      <c r="AC101" s="804"/>
      <c r="AD101" s="804"/>
      <c r="AE101" s="804"/>
      <c r="AF101" s="804"/>
      <c r="AG101" s="804"/>
      <c r="AH101" s="804"/>
      <c r="AI101" s="804"/>
      <c r="AJ101" s="804"/>
      <c r="AK101" s="804"/>
      <c r="AL101" s="804"/>
      <c r="AM101" s="804"/>
      <c r="AN101" s="8"/>
      <c r="AO101" s="712"/>
      <c r="AP101" s="712"/>
      <c r="AQ101" s="712"/>
      <c r="AR101" s="712"/>
      <c r="AS101" s="712"/>
      <c r="AT101" s="19"/>
    </row>
    <row r="102" spans="1:46" ht="5.25" customHeight="1" x14ac:dyDescent="0.2">
      <c r="A102" s="898">
        <v>300</v>
      </c>
      <c r="B102" s="825"/>
      <c r="C102" s="825"/>
      <c r="D102" s="825" t="s">
        <v>177</v>
      </c>
      <c r="E102" s="825"/>
      <c r="F102" s="826"/>
      <c r="G102" s="854"/>
      <c r="H102" s="854"/>
      <c r="I102" s="854"/>
      <c r="J102" s="854"/>
      <c r="K102" s="854"/>
      <c r="L102" s="842" t="str">
        <f>IFERROR(G102/($G$123)*100*IF(U34="C",L65/100,1),"")</f>
        <v/>
      </c>
      <c r="M102" s="843"/>
      <c r="N102" s="843"/>
      <c r="O102" s="844"/>
      <c r="P102" s="851" t="str">
        <f>IFERROR(P99+L102,"")</f>
        <v/>
      </c>
      <c r="Q102" s="851"/>
      <c r="R102" s="851"/>
      <c r="S102" s="851"/>
      <c r="T102" s="851" t="str">
        <f>IFERROR(100-P102,"")</f>
        <v/>
      </c>
      <c r="U102" s="851"/>
      <c r="V102" s="851"/>
      <c r="W102" s="877"/>
      <c r="X102" s="56" t="str">
        <f>T108</f>
        <v/>
      </c>
      <c r="Y102" s="804" t="s">
        <v>83</v>
      </c>
      <c r="Z102" s="804"/>
      <c r="AA102" s="804"/>
      <c r="AB102" s="804"/>
      <c r="AC102" s="804"/>
      <c r="AD102" s="804"/>
      <c r="AE102" s="804"/>
      <c r="AF102" s="804"/>
      <c r="AG102" s="804"/>
      <c r="AH102" s="804"/>
      <c r="AI102" s="804"/>
      <c r="AJ102" s="804"/>
      <c r="AK102" s="804"/>
      <c r="AL102" s="804"/>
      <c r="AM102" s="804"/>
      <c r="AN102" s="8"/>
      <c r="AO102" s="711"/>
      <c r="AP102" s="711"/>
      <c r="AQ102" s="711"/>
      <c r="AR102" s="711"/>
      <c r="AS102" s="711"/>
      <c r="AT102" s="19"/>
    </row>
    <row r="103" spans="1:46" ht="5.25" customHeight="1" x14ac:dyDescent="0.2">
      <c r="A103" s="899"/>
      <c r="B103" s="827"/>
      <c r="C103" s="827"/>
      <c r="D103" s="827"/>
      <c r="E103" s="827"/>
      <c r="F103" s="828"/>
      <c r="G103" s="855"/>
      <c r="H103" s="855"/>
      <c r="I103" s="855"/>
      <c r="J103" s="855"/>
      <c r="K103" s="855"/>
      <c r="L103" s="845"/>
      <c r="M103" s="846"/>
      <c r="N103" s="846"/>
      <c r="O103" s="847"/>
      <c r="P103" s="852"/>
      <c r="Q103" s="852"/>
      <c r="R103" s="852"/>
      <c r="S103" s="852"/>
      <c r="T103" s="852"/>
      <c r="U103" s="852"/>
      <c r="V103" s="852"/>
      <c r="W103" s="878"/>
      <c r="X103" s="56" t="str">
        <f>T111</f>
        <v/>
      </c>
      <c r="Y103" s="804"/>
      <c r="Z103" s="804"/>
      <c r="AA103" s="804"/>
      <c r="AB103" s="804"/>
      <c r="AC103" s="804"/>
      <c r="AD103" s="804"/>
      <c r="AE103" s="804"/>
      <c r="AF103" s="804"/>
      <c r="AG103" s="804"/>
      <c r="AH103" s="804"/>
      <c r="AI103" s="804"/>
      <c r="AJ103" s="804"/>
      <c r="AK103" s="804"/>
      <c r="AL103" s="804"/>
      <c r="AM103" s="804"/>
      <c r="AN103" s="8"/>
      <c r="AO103" s="712"/>
      <c r="AP103" s="712"/>
      <c r="AQ103" s="712"/>
      <c r="AR103" s="712"/>
      <c r="AS103" s="712"/>
      <c r="AT103" s="19"/>
    </row>
    <row r="104" spans="1:46" ht="5.25" customHeight="1" x14ac:dyDescent="0.2">
      <c r="A104" s="900"/>
      <c r="B104" s="829"/>
      <c r="C104" s="829"/>
      <c r="D104" s="829"/>
      <c r="E104" s="829"/>
      <c r="F104" s="830"/>
      <c r="G104" s="856"/>
      <c r="H104" s="856"/>
      <c r="I104" s="856"/>
      <c r="J104" s="856"/>
      <c r="K104" s="856"/>
      <c r="L104" s="848"/>
      <c r="M104" s="849"/>
      <c r="N104" s="849"/>
      <c r="O104" s="850"/>
      <c r="P104" s="853"/>
      <c r="Q104" s="853"/>
      <c r="R104" s="853"/>
      <c r="S104" s="853"/>
      <c r="T104" s="853"/>
      <c r="U104" s="853"/>
      <c r="V104" s="853"/>
      <c r="W104" s="879"/>
      <c r="X104" s="56" t="str">
        <f>T114</f>
        <v/>
      </c>
      <c r="Y104" s="804" t="s">
        <v>84</v>
      </c>
      <c r="Z104" s="804"/>
      <c r="AA104" s="804"/>
      <c r="AB104" s="804"/>
      <c r="AC104" s="804"/>
      <c r="AD104" s="804"/>
      <c r="AE104" s="804"/>
      <c r="AF104" s="804"/>
      <c r="AG104" s="804"/>
      <c r="AH104" s="804"/>
      <c r="AI104" s="804"/>
      <c r="AJ104" s="804"/>
      <c r="AK104" s="804"/>
      <c r="AL104" s="804"/>
      <c r="AM104" s="804"/>
      <c r="AN104" s="8"/>
      <c r="AO104" s="276"/>
      <c r="AP104" s="276"/>
      <c r="AQ104" s="276"/>
      <c r="AR104" s="276"/>
      <c r="AS104" s="276"/>
      <c r="AT104" s="19"/>
    </row>
    <row r="105" spans="1:46" ht="5.25" customHeight="1" x14ac:dyDescent="0.2">
      <c r="A105" s="898">
        <v>180</v>
      </c>
      <c r="B105" s="825"/>
      <c r="C105" s="825"/>
      <c r="D105" s="825" t="s">
        <v>178</v>
      </c>
      <c r="E105" s="825"/>
      <c r="F105" s="826"/>
      <c r="G105" s="854"/>
      <c r="H105" s="854"/>
      <c r="I105" s="854"/>
      <c r="J105" s="854"/>
      <c r="K105" s="854"/>
      <c r="L105" s="842" t="str">
        <f>IFERROR(G105/($G$123)*100*IF(U34="C",L65/100,1),"")</f>
        <v/>
      </c>
      <c r="M105" s="843"/>
      <c r="N105" s="843"/>
      <c r="O105" s="844"/>
      <c r="P105" s="851" t="str">
        <f>IFERROR(P102+L105,"")</f>
        <v/>
      </c>
      <c r="Q105" s="851"/>
      <c r="R105" s="851"/>
      <c r="S105" s="851"/>
      <c r="T105" s="851" t="str">
        <f>IFERROR(100-P105,"")</f>
        <v/>
      </c>
      <c r="U105" s="851"/>
      <c r="V105" s="851"/>
      <c r="W105" s="877"/>
      <c r="X105" s="31"/>
      <c r="Y105" s="804"/>
      <c r="Z105" s="804"/>
      <c r="AA105" s="804"/>
      <c r="AB105" s="804"/>
      <c r="AC105" s="804"/>
      <c r="AD105" s="804"/>
      <c r="AE105" s="804"/>
      <c r="AF105" s="804"/>
      <c r="AG105" s="804"/>
      <c r="AH105" s="804"/>
      <c r="AI105" s="804"/>
      <c r="AJ105" s="804"/>
      <c r="AK105" s="804"/>
      <c r="AL105" s="804"/>
      <c r="AM105" s="804"/>
      <c r="AN105" s="8"/>
      <c r="AO105" s="279"/>
      <c r="AP105" s="279"/>
      <c r="AQ105" s="279"/>
      <c r="AR105" s="279"/>
      <c r="AS105" s="279"/>
      <c r="AT105" s="19"/>
    </row>
    <row r="106" spans="1:46" ht="5.25" customHeight="1" x14ac:dyDescent="0.2">
      <c r="A106" s="899"/>
      <c r="B106" s="827"/>
      <c r="C106" s="827"/>
      <c r="D106" s="827"/>
      <c r="E106" s="827"/>
      <c r="F106" s="828"/>
      <c r="G106" s="855"/>
      <c r="H106" s="855"/>
      <c r="I106" s="855"/>
      <c r="J106" s="855"/>
      <c r="K106" s="855"/>
      <c r="L106" s="845"/>
      <c r="M106" s="846"/>
      <c r="N106" s="846"/>
      <c r="O106" s="847"/>
      <c r="P106" s="852"/>
      <c r="Q106" s="852"/>
      <c r="R106" s="852"/>
      <c r="S106" s="852"/>
      <c r="T106" s="852"/>
      <c r="U106" s="852"/>
      <c r="V106" s="852"/>
      <c r="W106" s="878"/>
      <c r="X106" s="31"/>
      <c r="Y106" s="804" t="s">
        <v>85</v>
      </c>
      <c r="Z106" s="804"/>
      <c r="AA106" s="804"/>
      <c r="AB106" s="804"/>
      <c r="AC106" s="804"/>
      <c r="AD106" s="804"/>
      <c r="AE106" s="804"/>
      <c r="AF106" s="804"/>
      <c r="AG106" s="804"/>
      <c r="AH106" s="804"/>
      <c r="AI106" s="804"/>
      <c r="AJ106" s="804"/>
      <c r="AK106" s="804"/>
      <c r="AL106" s="804"/>
      <c r="AM106" s="804"/>
      <c r="AN106" s="8"/>
      <c r="AO106" s="711"/>
      <c r="AP106" s="711"/>
      <c r="AQ106" s="711"/>
      <c r="AR106" s="711"/>
      <c r="AS106" s="711"/>
      <c r="AT106" s="19"/>
    </row>
    <row r="107" spans="1:46" ht="5.25" customHeight="1" x14ac:dyDescent="0.2">
      <c r="A107" s="900"/>
      <c r="B107" s="829"/>
      <c r="C107" s="829"/>
      <c r="D107" s="829"/>
      <c r="E107" s="829"/>
      <c r="F107" s="830"/>
      <c r="G107" s="856"/>
      <c r="H107" s="856"/>
      <c r="I107" s="856"/>
      <c r="J107" s="856"/>
      <c r="K107" s="856"/>
      <c r="L107" s="848"/>
      <c r="M107" s="849"/>
      <c r="N107" s="849"/>
      <c r="O107" s="850"/>
      <c r="P107" s="853"/>
      <c r="Q107" s="853"/>
      <c r="R107" s="853"/>
      <c r="S107" s="853"/>
      <c r="T107" s="853"/>
      <c r="U107" s="853"/>
      <c r="V107" s="853"/>
      <c r="W107" s="879"/>
      <c r="X107" s="31"/>
      <c r="Y107" s="804"/>
      <c r="Z107" s="804"/>
      <c r="AA107" s="804"/>
      <c r="AB107" s="804"/>
      <c r="AC107" s="804"/>
      <c r="AD107" s="804"/>
      <c r="AE107" s="804"/>
      <c r="AF107" s="804"/>
      <c r="AG107" s="804"/>
      <c r="AH107" s="804"/>
      <c r="AI107" s="804"/>
      <c r="AJ107" s="804"/>
      <c r="AK107" s="804"/>
      <c r="AL107" s="804"/>
      <c r="AM107" s="804"/>
      <c r="AN107" s="8"/>
      <c r="AO107" s="712"/>
      <c r="AP107" s="712"/>
      <c r="AQ107" s="712"/>
      <c r="AR107" s="712"/>
      <c r="AS107" s="712"/>
      <c r="AT107" s="19"/>
    </row>
    <row r="108" spans="1:46" ht="5.25" customHeight="1" x14ac:dyDescent="0.2">
      <c r="A108" s="898">
        <v>150</v>
      </c>
      <c r="B108" s="825"/>
      <c r="C108" s="825"/>
      <c r="D108" s="825" t="s">
        <v>179</v>
      </c>
      <c r="E108" s="825"/>
      <c r="F108" s="826"/>
      <c r="G108" s="854"/>
      <c r="H108" s="854"/>
      <c r="I108" s="854"/>
      <c r="J108" s="854"/>
      <c r="K108" s="854"/>
      <c r="L108" s="842" t="str">
        <f>IFERROR(G108/($G$123)*100*IF(U34="C",L65/100,1),"")</f>
        <v/>
      </c>
      <c r="M108" s="843"/>
      <c r="N108" s="843"/>
      <c r="O108" s="844"/>
      <c r="P108" s="851" t="str">
        <f>IFERROR(P105+L108,"")</f>
        <v/>
      </c>
      <c r="Q108" s="851"/>
      <c r="R108" s="851"/>
      <c r="S108" s="851"/>
      <c r="T108" s="851" t="str">
        <f>IFERROR(100-P108,"")</f>
        <v/>
      </c>
      <c r="U108" s="851"/>
      <c r="V108" s="851"/>
      <c r="W108" s="877"/>
      <c r="X108" s="8"/>
      <c r="Y108" s="804" t="s">
        <v>86</v>
      </c>
      <c r="Z108" s="804"/>
      <c r="AA108" s="804"/>
      <c r="AB108" s="804"/>
      <c r="AC108" s="804"/>
      <c r="AD108" s="804"/>
      <c r="AE108" s="804"/>
      <c r="AF108" s="804"/>
      <c r="AG108" s="804"/>
      <c r="AH108" s="804"/>
      <c r="AI108" s="804"/>
      <c r="AJ108" s="804"/>
      <c r="AK108" s="804"/>
      <c r="AL108" s="804"/>
      <c r="AM108" s="804"/>
      <c r="AN108" s="8"/>
      <c r="AO108" s="276"/>
      <c r="AP108" s="276"/>
      <c r="AQ108" s="276"/>
      <c r="AR108" s="276"/>
      <c r="AS108" s="276"/>
      <c r="AT108" s="19"/>
    </row>
    <row r="109" spans="1:46" ht="5.25" customHeight="1" x14ac:dyDescent="0.2">
      <c r="A109" s="899"/>
      <c r="B109" s="827"/>
      <c r="C109" s="827"/>
      <c r="D109" s="827"/>
      <c r="E109" s="827"/>
      <c r="F109" s="828"/>
      <c r="G109" s="855"/>
      <c r="H109" s="855"/>
      <c r="I109" s="855"/>
      <c r="J109" s="855"/>
      <c r="K109" s="855"/>
      <c r="L109" s="845"/>
      <c r="M109" s="846"/>
      <c r="N109" s="846"/>
      <c r="O109" s="847"/>
      <c r="P109" s="852"/>
      <c r="Q109" s="852"/>
      <c r="R109" s="852"/>
      <c r="S109" s="852"/>
      <c r="T109" s="852"/>
      <c r="U109" s="852"/>
      <c r="V109" s="852"/>
      <c r="W109" s="878"/>
      <c r="X109" s="8"/>
      <c r="Y109" s="804"/>
      <c r="Z109" s="804"/>
      <c r="AA109" s="804"/>
      <c r="AB109" s="804"/>
      <c r="AC109" s="804"/>
      <c r="AD109" s="804"/>
      <c r="AE109" s="804"/>
      <c r="AF109" s="804"/>
      <c r="AG109" s="804"/>
      <c r="AH109" s="804"/>
      <c r="AI109" s="804"/>
      <c r="AJ109" s="804"/>
      <c r="AK109" s="804"/>
      <c r="AL109" s="804"/>
      <c r="AM109" s="804"/>
      <c r="AN109" s="8"/>
      <c r="AO109" s="279"/>
      <c r="AP109" s="279"/>
      <c r="AQ109" s="279"/>
      <c r="AR109" s="279"/>
      <c r="AS109" s="279"/>
      <c r="AT109" s="19"/>
    </row>
    <row r="110" spans="1:46" ht="5.25" customHeight="1" x14ac:dyDescent="0.2">
      <c r="A110" s="900"/>
      <c r="B110" s="829"/>
      <c r="C110" s="829"/>
      <c r="D110" s="829"/>
      <c r="E110" s="829"/>
      <c r="F110" s="830"/>
      <c r="G110" s="856"/>
      <c r="H110" s="856"/>
      <c r="I110" s="856"/>
      <c r="J110" s="856"/>
      <c r="K110" s="856"/>
      <c r="L110" s="848"/>
      <c r="M110" s="849"/>
      <c r="N110" s="849"/>
      <c r="O110" s="850"/>
      <c r="P110" s="853"/>
      <c r="Q110" s="853"/>
      <c r="R110" s="853"/>
      <c r="S110" s="853"/>
      <c r="T110" s="853"/>
      <c r="U110" s="853"/>
      <c r="V110" s="853"/>
      <c r="W110" s="879"/>
      <c r="X110" s="8"/>
      <c r="Y110" s="804" t="s">
        <v>87</v>
      </c>
      <c r="Z110" s="804"/>
      <c r="AA110" s="804"/>
      <c r="AB110" s="804"/>
      <c r="AC110" s="804"/>
      <c r="AD110" s="804"/>
      <c r="AE110" s="804"/>
      <c r="AF110" s="804"/>
      <c r="AG110" s="804"/>
      <c r="AH110" s="804"/>
      <c r="AI110" s="804"/>
      <c r="AJ110" s="804"/>
      <c r="AK110" s="804"/>
      <c r="AL110" s="804"/>
      <c r="AM110" s="804"/>
      <c r="AN110" s="8"/>
      <c r="AO110" s="276"/>
      <c r="AP110" s="276"/>
      <c r="AQ110" s="276"/>
      <c r="AR110" s="276"/>
      <c r="AS110" s="276"/>
      <c r="AT110" s="19"/>
    </row>
    <row r="111" spans="1:46" ht="5.25" customHeight="1" x14ac:dyDescent="0.2">
      <c r="A111" s="898">
        <v>75</v>
      </c>
      <c r="B111" s="825"/>
      <c r="C111" s="825"/>
      <c r="D111" s="825" t="s">
        <v>180</v>
      </c>
      <c r="E111" s="825"/>
      <c r="F111" s="826"/>
      <c r="G111" s="854"/>
      <c r="H111" s="854"/>
      <c r="I111" s="854"/>
      <c r="J111" s="854"/>
      <c r="K111" s="854"/>
      <c r="L111" s="842" t="str">
        <f>IFERROR(G111/($G$123)*100*IF(U34="C",L65/100,1),"")</f>
        <v/>
      </c>
      <c r="M111" s="843"/>
      <c r="N111" s="843"/>
      <c r="O111" s="844"/>
      <c r="P111" s="851" t="str">
        <f>IFERROR(P108+L111,"")</f>
        <v/>
      </c>
      <c r="Q111" s="851"/>
      <c r="R111" s="851"/>
      <c r="S111" s="851"/>
      <c r="T111" s="851" t="str">
        <f>IFERROR(100-P111,"")</f>
        <v/>
      </c>
      <c r="U111" s="851"/>
      <c r="V111" s="851"/>
      <c r="W111" s="877"/>
      <c r="X111" s="8"/>
      <c r="Y111" s="804"/>
      <c r="Z111" s="804"/>
      <c r="AA111" s="804"/>
      <c r="AB111" s="804"/>
      <c r="AC111" s="804"/>
      <c r="AD111" s="804"/>
      <c r="AE111" s="804"/>
      <c r="AF111" s="804"/>
      <c r="AG111" s="804"/>
      <c r="AH111" s="804"/>
      <c r="AI111" s="804"/>
      <c r="AJ111" s="804"/>
      <c r="AK111" s="804"/>
      <c r="AL111" s="804"/>
      <c r="AM111" s="804"/>
      <c r="AN111" s="8"/>
      <c r="AO111" s="279"/>
      <c r="AP111" s="279"/>
      <c r="AQ111" s="279"/>
      <c r="AR111" s="279"/>
      <c r="AS111" s="279"/>
      <c r="AT111" s="19"/>
    </row>
    <row r="112" spans="1:46" ht="5.25" customHeight="1" x14ac:dyDescent="0.2">
      <c r="A112" s="899"/>
      <c r="B112" s="827"/>
      <c r="C112" s="827"/>
      <c r="D112" s="827"/>
      <c r="E112" s="827"/>
      <c r="F112" s="828"/>
      <c r="G112" s="855"/>
      <c r="H112" s="855"/>
      <c r="I112" s="855"/>
      <c r="J112" s="855"/>
      <c r="K112" s="855"/>
      <c r="L112" s="845"/>
      <c r="M112" s="846"/>
      <c r="N112" s="846"/>
      <c r="O112" s="847"/>
      <c r="P112" s="852"/>
      <c r="Q112" s="852"/>
      <c r="R112" s="852"/>
      <c r="S112" s="852"/>
      <c r="T112" s="852"/>
      <c r="U112" s="852"/>
      <c r="V112" s="852"/>
      <c r="W112" s="878"/>
      <c r="X112" s="8"/>
      <c r="Y112" s="804" t="s">
        <v>88</v>
      </c>
      <c r="Z112" s="804"/>
      <c r="AA112" s="804"/>
      <c r="AB112" s="804"/>
      <c r="AC112" s="804"/>
      <c r="AD112" s="804"/>
      <c r="AE112" s="804"/>
      <c r="AF112" s="804"/>
      <c r="AG112" s="804"/>
      <c r="AH112" s="804"/>
      <c r="AI112" s="804"/>
      <c r="AJ112" s="804"/>
      <c r="AK112" s="804"/>
      <c r="AL112" s="804"/>
      <c r="AM112" s="804"/>
      <c r="AN112" s="8"/>
      <c r="AO112" s="276"/>
      <c r="AP112" s="276"/>
      <c r="AQ112" s="276"/>
      <c r="AR112" s="276"/>
      <c r="AS112" s="276"/>
      <c r="AT112" s="19"/>
    </row>
    <row r="113" spans="1:46" ht="5.25" customHeight="1" x14ac:dyDescent="0.2">
      <c r="A113" s="900"/>
      <c r="B113" s="829"/>
      <c r="C113" s="829"/>
      <c r="D113" s="829"/>
      <c r="E113" s="829"/>
      <c r="F113" s="830"/>
      <c r="G113" s="856"/>
      <c r="H113" s="856"/>
      <c r="I113" s="856"/>
      <c r="J113" s="856"/>
      <c r="K113" s="856"/>
      <c r="L113" s="848"/>
      <c r="M113" s="849"/>
      <c r="N113" s="849"/>
      <c r="O113" s="850"/>
      <c r="P113" s="853"/>
      <c r="Q113" s="853"/>
      <c r="R113" s="853"/>
      <c r="S113" s="853"/>
      <c r="T113" s="853"/>
      <c r="U113" s="853"/>
      <c r="V113" s="853"/>
      <c r="W113" s="879"/>
      <c r="X113" s="8"/>
      <c r="Y113" s="804"/>
      <c r="Z113" s="804"/>
      <c r="AA113" s="804"/>
      <c r="AB113" s="804"/>
      <c r="AC113" s="804"/>
      <c r="AD113" s="804"/>
      <c r="AE113" s="804"/>
      <c r="AF113" s="804"/>
      <c r="AG113" s="804"/>
      <c r="AH113" s="804"/>
      <c r="AI113" s="804"/>
      <c r="AJ113" s="804"/>
      <c r="AK113" s="804"/>
      <c r="AL113" s="804"/>
      <c r="AM113" s="804"/>
      <c r="AN113" s="8"/>
      <c r="AO113" s="279"/>
      <c r="AP113" s="279"/>
      <c r="AQ113" s="279"/>
      <c r="AR113" s="279"/>
      <c r="AS113" s="279"/>
      <c r="AT113" s="19"/>
    </row>
    <row r="114" spans="1:46" ht="5.25" customHeight="1" x14ac:dyDescent="0.2">
      <c r="A114" s="760">
        <v>53</v>
      </c>
      <c r="B114" s="753"/>
      <c r="C114" s="753"/>
      <c r="D114" s="825" t="s">
        <v>181</v>
      </c>
      <c r="E114" s="825"/>
      <c r="F114" s="826"/>
      <c r="G114" s="854"/>
      <c r="H114" s="854"/>
      <c r="I114" s="854"/>
      <c r="J114" s="854"/>
      <c r="K114" s="854"/>
      <c r="L114" s="842" t="str">
        <f>IFERROR(G114/($G$123)*100*IF(U34="C",L65/100,1),"")</f>
        <v/>
      </c>
      <c r="M114" s="843"/>
      <c r="N114" s="843"/>
      <c r="O114" s="844"/>
      <c r="P114" s="851" t="str">
        <f>IFERROR(P111+L114,"")</f>
        <v/>
      </c>
      <c r="Q114" s="851"/>
      <c r="R114" s="851"/>
      <c r="S114" s="851"/>
      <c r="T114" s="851" t="str">
        <f>IFERROR(100-P114,"")</f>
        <v/>
      </c>
      <c r="U114" s="851"/>
      <c r="V114" s="851"/>
      <c r="W114" s="877"/>
      <c r="X114" s="8"/>
      <c r="Y114" s="804" t="s">
        <v>89</v>
      </c>
      <c r="Z114" s="804"/>
      <c r="AA114" s="804"/>
      <c r="AB114" s="804"/>
      <c r="AC114" s="804"/>
      <c r="AD114" s="804"/>
      <c r="AE114" s="804"/>
      <c r="AF114" s="804"/>
      <c r="AG114" s="804"/>
      <c r="AH114" s="804"/>
      <c r="AI114" s="804"/>
      <c r="AJ114" s="804"/>
      <c r="AK114" s="804"/>
      <c r="AL114" s="804"/>
      <c r="AM114" s="804"/>
      <c r="AN114" s="8"/>
      <c r="AO114" s="276"/>
      <c r="AP114" s="276"/>
      <c r="AQ114" s="276"/>
      <c r="AR114" s="276"/>
      <c r="AS114" s="276"/>
      <c r="AT114" s="19"/>
    </row>
    <row r="115" spans="1:46" ht="5.25" customHeight="1" x14ac:dyDescent="0.2">
      <c r="A115" s="761"/>
      <c r="B115" s="755"/>
      <c r="C115" s="755"/>
      <c r="D115" s="827"/>
      <c r="E115" s="827"/>
      <c r="F115" s="828"/>
      <c r="G115" s="855"/>
      <c r="H115" s="855"/>
      <c r="I115" s="855"/>
      <c r="J115" s="855"/>
      <c r="K115" s="855"/>
      <c r="L115" s="845"/>
      <c r="M115" s="846"/>
      <c r="N115" s="846"/>
      <c r="O115" s="847"/>
      <c r="P115" s="852"/>
      <c r="Q115" s="852"/>
      <c r="R115" s="852"/>
      <c r="S115" s="852"/>
      <c r="T115" s="852"/>
      <c r="U115" s="852"/>
      <c r="V115" s="852"/>
      <c r="W115" s="878"/>
      <c r="X115" s="8"/>
      <c r="Y115" s="804"/>
      <c r="Z115" s="804"/>
      <c r="AA115" s="804"/>
      <c r="AB115" s="804"/>
      <c r="AC115" s="804"/>
      <c r="AD115" s="804"/>
      <c r="AE115" s="804"/>
      <c r="AF115" s="804"/>
      <c r="AG115" s="804"/>
      <c r="AH115" s="804"/>
      <c r="AI115" s="804"/>
      <c r="AJ115" s="804"/>
      <c r="AK115" s="804"/>
      <c r="AL115" s="804"/>
      <c r="AM115" s="804"/>
      <c r="AN115" s="8"/>
      <c r="AO115" s="279"/>
      <c r="AP115" s="279"/>
      <c r="AQ115" s="279"/>
      <c r="AR115" s="279"/>
      <c r="AS115" s="279"/>
      <c r="AT115" s="19"/>
    </row>
    <row r="116" spans="1:46" ht="5.25" customHeight="1" x14ac:dyDescent="0.2">
      <c r="A116" s="823"/>
      <c r="B116" s="824"/>
      <c r="C116" s="824"/>
      <c r="D116" s="829"/>
      <c r="E116" s="829"/>
      <c r="F116" s="830"/>
      <c r="G116" s="856"/>
      <c r="H116" s="856"/>
      <c r="I116" s="856"/>
      <c r="J116" s="856"/>
      <c r="K116" s="856"/>
      <c r="L116" s="848"/>
      <c r="M116" s="849"/>
      <c r="N116" s="849"/>
      <c r="O116" s="850"/>
      <c r="P116" s="853"/>
      <c r="Q116" s="853"/>
      <c r="R116" s="853"/>
      <c r="S116" s="853"/>
      <c r="T116" s="853"/>
      <c r="U116" s="853"/>
      <c r="V116" s="853"/>
      <c r="W116" s="879"/>
      <c r="X116" s="8"/>
      <c r="Y116" s="804" t="s">
        <v>90</v>
      </c>
      <c r="Z116" s="804"/>
      <c r="AA116" s="804"/>
      <c r="AB116" s="804"/>
      <c r="AC116" s="804"/>
      <c r="AD116" s="804"/>
      <c r="AE116" s="804"/>
      <c r="AF116" s="804"/>
      <c r="AG116" s="804"/>
      <c r="AH116" s="804"/>
      <c r="AI116" s="804"/>
      <c r="AJ116" s="804"/>
      <c r="AK116" s="804"/>
      <c r="AL116" s="804"/>
      <c r="AM116" s="804"/>
      <c r="AN116" s="8"/>
      <c r="AO116" s="711"/>
      <c r="AP116" s="711"/>
      <c r="AQ116" s="711"/>
      <c r="AR116" s="711"/>
      <c r="AS116" s="711"/>
      <c r="AT116" s="19"/>
    </row>
    <row r="117" spans="1:46" ht="5.25" customHeight="1" x14ac:dyDescent="0.2">
      <c r="A117" s="906" t="s">
        <v>36</v>
      </c>
      <c r="B117" s="907"/>
      <c r="C117" s="907"/>
      <c r="D117" s="907"/>
      <c r="E117" s="907"/>
      <c r="F117" s="908"/>
      <c r="G117" s="854"/>
      <c r="H117" s="854"/>
      <c r="I117" s="854"/>
      <c r="J117" s="854"/>
      <c r="K117" s="854"/>
      <c r="L117" s="842" t="str">
        <f>IFERROR(G117/($G$123)*100*IF(U34="C",L65/100,1),"")</f>
        <v/>
      </c>
      <c r="M117" s="843"/>
      <c r="N117" s="843"/>
      <c r="O117" s="844"/>
      <c r="P117" s="880"/>
      <c r="Q117" s="793"/>
      <c r="R117" s="793"/>
      <c r="S117" s="793"/>
      <c r="T117" s="793"/>
      <c r="U117" s="793"/>
      <c r="V117" s="793"/>
      <c r="W117" s="794"/>
      <c r="X117" s="8"/>
      <c r="Y117" s="804"/>
      <c r="Z117" s="804"/>
      <c r="AA117" s="804"/>
      <c r="AB117" s="804"/>
      <c r="AC117" s="804"/>
      <c r="AD117" s="804"/>
      <c r="AE117" s="804"/>
      <c r="AF117" s="804"/>
      <c r="AG117" s="804"/>
      <c r="AH117" s="804"/>
      <c r="AI117" s="804"/>
      <c r="AJ117" s="804"/>
      <c r="AK117" s="804"/>
      <c r="AL117" s="804"/>
      <c r="AM117" s="804"/>
      <c r="AN117" s="8"/>
      <c r="AO117" s="712"/>
      <c r="AP117" s="712"/>
      <c r="AQ117" s="712"/>
      <c r="AR117" s="712"/>
      <c r="AS117" s="712"/>
      <c r="AT117" s="19"/>
    </row>
    <row r="118" spans="1:46" ht="5.25" customHeight="1" x14ac:dyDescent="0.2">
      <c r="A118" s="909"/>
      <c r="B118" s="910"/>
      <c r="C118" s="910"/>
      <c r="D118" s="910"/>
      <c r="E118" s="910"/>
      <c r="F118" s="911"/>
      <c r="G118" s="855"/>
      <c r="H118" s="855"/>
      <c r="I118" s="855"/>
      <c r="J118" s="855"/>
      <c r="K118" s="855"/>
      <c r="L118" s="845"/>
      <c r="M118" s="846"/>
      <c r="N118" s="846"/>
      <c r="O118" s="847"/>
      <c r="P118" s="881"/>
      <c r="Q118" s="795"/>
      <c r="R118" s="795"/>
      <c r="S118" s="795"/>
      <c r="T118" s="795"/>
      <c r="U118" s="795"/>
      <c r="V118" s="795"/>
      <c r="W118" s="796"/>
      <c r="X118" s="8"/>
      <c r="Y118" s="804" t="s">
        <v>91</v>
      </c>
      <c r="Z118" s="804"/>
      <c r="AA118" s="804"/>
      <c r="AB118" s="804"/>
      <c r="AC118" s="804"/>
      <c r="AD118" s="804"/>
      <c r="AE118" s="804"/>
      <c r="AF118" s="804"/>
      <c r="AG118" s="804"/>
      <c r="AH118" s="804"/>
      <c r="AI118" s="804"/>
      <c r="AJ118" s="804"/>
      <c r="AK118" s="804"/>
      <c r="AL118" s="804"/>
      <c r="AM118" s="804"/>
      <c r="AN118" s="8"/>
      <c r="AO118" s="711"/>
      <c r="AP118" s="711"/>
      <c r="AQ118" s="711"/>
      <c r="AR118" s="711"/>
      <c r="AS118" s="711"/>
      <c r="AT118" s="19"/>
    </row>
    <row r="119" spans="1:46" ht="5.25" customHeight="1" x14ac:dyDescent="0.2">
      <c r="A119" s="912"/>
      <c r="B119" s="913"/>
      <c r="C119" s="913"/>
      <c r="D119" s="913"/>
      <c r="E119" s="913"/>
      <c r="F119" s="914"/>
      <c r="G119" s="856"/>
      <c r="H119" s="856"/>
      <c r="I119" s="856"/>
      <c r="J119" s="856"/>
      <c r="K119" s="856"/>
      <c r="L119" s="848"/>
      <c r="M119" s="849"/>
      <c r="N119" s="849"/>
      <c r="O119" s="850"/>
      <c r="P119" s="881"/>
      <c r="Q119" s="795"/>
      <c r="R119" s="795"/>
      <c r="S119" s="795"/>
      <c r="T119" s="795"/>
      <c r="U119" s="795"/>
      <c r="V119" s="795"/>
      <c r="W119" s="796"/>
      <c r="X119" s="8"/>
      <c r="Y119" s="804"/>
      <c r="Z119" s="804"/>
      <c r="AA119" s="804"/>
      <c r="AB119" s="804"/>
      <c r="AC119" s="804"/>
      <c r="AD119" s="804"/>
      <c r="AE119" s="804"/>
      <c r="AF119" s="804"/>
      <c r="AG119" s="804"/>
      <c r="AH119" s="804"/>
      <c r="AI119" s="804"/>
      <c r="AJ119" s="804"/>
      <c r="AK119" s="804"/>
      <c r="AL119" s="804"/>
      <c r="AM119" s="804"/>
      <c r="AN119" s="8"/>
      <c r="AO119" s="712"/>
      <c r="AP119" s="712"/>
      <c r="AQ119" s="712"/>
      <c r="AR119" s="712"/>
      <c r="AS119" s="712"/>
      <c r="AT119" s="19"/>
    </row>
    <row r="120" spans="1:46" ht="5.25" customHeight="1" x14ac:dyDescent="0.2">
      <c r="A120" s="760" t="s">
        <v>528</v>
      </c>
      <c r="B120" s="753"/>
      <c r="C120" s="753"/>
      <c r="D120" s="753"/>
      <c r="E120" s="753"/>
      <c r="F120" s="863"/>
      <c r="G120" s="915">
        <f>J126-J131</f>
        <v>0</v>
      </c>
      <c r="H120" s="915"/>
      <c r="I120" s="915"/>
      <c r="J120" s="915"/>
      <c r="K120" s="915"/>
      <c r="L120" s="842" t="str">
        <f>IFERROR(G120/($G$123)*100*IF(U34="C",L65/100,1),"")</f>
        <v/>
      </c>
      <c r="M120" s="843"/>
      <c r="N120" s="843"/>
      <c r="O120" s="844"/>
      <c r="P120" s="795"/>
      <c r="Q120" s="795"/>
      <c r="R120" s="795"/>
      <c r="S120" s="795"/>
      <c r="T120" s="795"/>
      <c r="U120" s="795"/>
      <c r="V120" s="795"/>
      <c r="W120" s="796"/>
      <c r="X120" s="8"/>
      <c r="Y120" s="804" t="s">
        <v>92</v>
      </c>
      <c r="Z120" s="804"/>
      <c r="AA120" s="804"/>
      <c r="AB120" s="804"/>
      <c r="AC120" s="804"/>
      <c r="AD120" s="804"/>
      <c r="AE120" s="804"/>
      <c r="AF120" s="804"/>
      <c r="AG120" s="804"/>
      <c r="AH120" s="804"/>
      <c r="AI120" s="804"/>
      <c r="AJ120" s="804"/>
      <c r="AK120" s="804"/>
      <c r="AL120" s="804"/>
      <c r="AM120" s="804"/>
      <c r="AN120" s="8"/>
      <c r="AO120" s="276"/>
      <c r="AP120" s="276"/>
      <c r="AQ120" s="276"/>
      <c r="AR120" s="276"/>
      <c r="AS120" s="276"/>
      <c r="AT120" s="19"/>
    </row>
    <row r="121" spans="1:46" ht="5.25" customHeight="1" x14ac:dyDescent="0.2">
      <c r="A121" s="761"/>
      <c r="B121" s="755"/>
      <c r="C121" s="755"/>
      <c r="D121" s="755"/>
      <c r="E121" s="755"/>
      <c r="F121" s="864"/>
      <c r="G121" s="916"/>
      <c r="H121" s="916"/>
      <c r="I121" s="916"/>
      <c r="J121" s="916"/>
      <c r="K121" s="916"/>
      <c r="L121" s="845"/>
      <c r="M121" s="846"/>
      <c r="N121" s="846"/>
      <c r="O121" s="847"/>
      <c r="P121" s="795"/>
      <c r="Q121" s="795"/>
      <c r="R121" s="795"/>
      <c r="S121" s="795"/>
      <c r="T121" s="795"/>
      <c r="U121" s="795"/>
      <c r="V121" s="795"/>
      <c r="W121" s="796"/>
      <c r="X121" s="8"/>
      <c r="Y121" s="804"/>
      <c r="Z121" s="804"/>
      <c r="AA121" s="804"/>
      <c r="AB121" s="804"/>
      <c r="AC121" s="804"/>
      <c r="AD121" s="804"/>
      <c r="AE121" s="804"/>
      <c r="AF121" s="804"/>
      <c r="AG121" s="804"/>
      <c r="AH121" s="804"/>
      <c r="AI121" s="804"/>
      <c r="AJ121" s="804"/>
      <c r="AK121" s="804"/>
      <c r="AL121" s="804"/>
      <c r="AM121" s="804"/>
      <c r="AN121" s="8"/>
      <c r="AO121" s="279"/>
      <c r="AP121" s="279"/>
      <c r="AQ121" s="279"/>
      <c r="AR121" s="279"/>
      <c r="AS121" s="279"/>
      <c r="AT121" s="19"/>
    </row>
    <row r="122" spans="1:46" ht="5.25" customHeight="1" x14ac:dyDescent="0.2">
      <c r="A122" s="823"/>
      <c r="B122" s="824"/>
      <c r="C122" s="824"/>
      <c r="D122" s="824"/>
      <c r="E122" s="824"/>
      <c r="F122" s="866"/>
      <c r="G122" s="917"/>
      <c r="H122" s="917"/>
      <c r="I122" s="917"/>
      <c r="J122" s="917"/>
      <c r="K122" s="917"/>
      <c r="L122" s="848"/>
      <c r="M122" s="849"/>
      <c r="N122" s="849"/>
      <c r="O122" s="850"/>
      <c r="P122" s="795"/>
      <c r="Q122" s="795"/>
      <c r="R122" s="795"/>
      <c r="S122" s="795"/>
      <c r="T122" s="795"/>
      <c r="U122" s="795"/>
      <c r="V122" s="795"/>
      <c r="W122" s="796"/>
      <c r="X122" s="8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8"/>
      <c r="AO122" s="8"/>
      <c r="AP122" s="8"/>
      <c r="AQ122" s="8"/>
      <c r="AR122" s="8"/>
      <c r="AS122" s="8"/>
      <c r="AT122" s="19"/>
    </row>
    <row r="123" spans="1:46" ht="5.25" customHeight="1" x14ac:dyDescent="0.2">
      <c r="A123" s="760" t="s">
        <v>37</v>
      </c>
      <c r="B123" s="753"/>
      <c r="C123" s="753"/>
      <c r="D123" s="753"/>
      <c r="E123" s="753"/>
      <c r="F123" s="863"/>
      <c r="G123" s="769">
        <f>IF(U34="C",SUM(G87:K122),SUM(G41:K67) +SUM(G87:K122))</f>
        <v>0</v>
      </c>
      <c r="H123" s="770"/>
      <c r="I123" s="770"/>
      <c r="J123" s="770"/>
      <c r="K123" s="771"/>
      <c r="L123" s="737"/>
      <c r="M123" s="738"/>
      <c r="N123" s="738"/>
      <c r="O123" s="738"/>
      <c r="P123" s="738"/>
      <c r="Q123" s="738"/>
      <c r="R123" s="738"/>
      <c r="S123" s="738"/>
      <c r="T123" s="738"/>
      <c r="U123" s="738"/>
      <c r="V123" s="738"/>
      <c r="W123" s="739"/>
      <c r="X123" s="8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8"/>
      <c r="AO123" s="8"/>
      <c r="AP123" s="8"/>
      <c r="AQ123" s="8"/>
      <c r="AR123" s="8"/>
      <c r="AS123" s="8"/>
      <c r="AT123" s="19"/>
    </row>
    <row r="124" spans="1:46" ht="5.25" customHeight="1" x14ac:dyDescent="0.2">
      <c r="A124" s="761"/>
      <c r="B124" s="755"/>
      <c r="C124" s="755"/>
      <c r="D124" s="755"/>
      <c r="E124" s="755"/>
      <c r="F124" s="864"/>
      <c r="G124" s="814"/>
      <c r="H124" s="815"/>
      <c r="I124" s="815"/>
      <c r="J124" s="815"/>
      <c r="K124" s="816"/>
      <c r="L124" s="737"/>
      <c r="M124" s="738"/>
      <c r="N124" s="738"/>
      <c r="O124" s="738"/>
      <c r="P124" s="738"/>
      <c r="Q124" s="738"/>
      <c r="R124" s="738"/>
      <c r="S124" s="738"/>
      <c r="T124" s="738"/>
      <c r="U124" s="738"/>
      <c r="V124" s="738"/>
      <c r="W124" s="739"/>
      <c r="X124" s="8"/>
      <c r="AO124" s="8"/>
      <c r="AP124" s="8"/>
      <c r="AQ124" s="8"/>
      <c r="AR124" s="8"/>
      <c r="AS124" s="8"/>
      <c r="AT124" s="19"/>
    </row>
    <row r="125" spans="1:46" ht="5.25" customHeight="1" x14ac:dyDescent="0.2">
      <c r="A125" s="823"/>
      <c r="B125" s="824"/>
      <c r="C125" s="824"/>
      <c r="D125" s="824"/>
      <c r="E125" s="824"/>
      <c r="F125" s="866"/>
      <c r="G125" s="772"/>
      <c r="H125" s="773"/>
      <c r="I125" s="773"/>
      <c r="J125" s="773"/>
      <c r="K125" s="774"/>
      <c r="L125" s="740"/>
      <c r="M125" s="741"/>
      <c r="N125" s="741"/>
      <c r="O125" s="741"/>
      <c r="P125" s="741"/>
      <c r="Q125" s="741"/>
      <c r="R125" s="741"/>
      <c r="S125" s="741"/>
      <c r="T125" s="741"/>
      <c r="U125" s="741"/>
      <c r="V125" s="741"/>
      <c r="W125" s="742"/>
      <c r="X125" s="8"/>
      <c r="AO125" s="8"/>
      <c r="AP125" s="8"/>
      <c r="AQ125" s="8"/>
      <c r="AR125" s="8"/>
      <c r="AS125" s="8"/>
      <c r="AT125" s="19"/>
    </row>
    <row r="126" spans="1:46" ht="4.7" customHeight="1" x14ac:dyDescent="0.2">
      <c r="A126" s="760" t="s">
        <v>38</v>
      </c>
      <c r="B126" s="753"/>
      <c r="C126" s="753"/>
      <c r="D126" s="753"/>
      <c r="E126" s="753"/>
      <c r="F126" s="753"/>
      <c r="G126" s="753"/>
      <c r="H126" s="753"/>
      <c r="I126" s="26"/>
      <c r="J126" s="749"/>
      <c r="K126" s="749"/>
      <c r="L126" s="749"/>
      <c r="M126" s="749"/>
      <c r="N126" s="749"/>
      <c r="O126" s="749"/>
      <c r="P126" s="749"/>
      <c r="Q126" s="27"/>
      <c r="R126" s="752" t="s">
        <v>39</v>
      </c>
      <c r="S126" s="753"/>
      <c r="T126" s="756" t="str">
        <f>IFERROR((J126-(G123))/J126 *100,"")</f>
        <v/>
      </c>
      <c r="U126" s="756"/>
      <c r="V126" s="756"/>
      <c r="W126" s="757"/>
      <c r="X126" s="8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8"/>
      <c r="AO126" s="8"/>
      <c r="AP126" s="8"/>
      <c r="AQ126" s="8"/>
      <c r="AR126" s="8"/>
      <c r="AS126" s="8"/>
      <c r="AT126" s="19"/>
    </row>
    <row r="127" spans="1:46" ht="2.25" customHeight="1" thickBot="1" x14ac:dyDescent="0.25">
      <c r="A127" s="761"/>
      <c r="B127" s="755"/>
      <c r="C127" s="755"/>
      <c r="D127" s="755"/>
      <c r="E127" s="755"/>
      <c r="F127" s="755"/>
      <c r="G127" s="755"/>
      <c r="H127" s="755"/>
      <c r="I127" s="13"/>
      <c r="J127" s="905"/>
      <c r="K127" s="905"/>
      <c r="L127" s="905"/>
      <c r="M127" s="905"/>
      <c r="N127" s="905"/>
      <c r="O127" s="905"/>
      <c r="P127" s="905"/>
      <c r="Q127" s="8"/>
      <c r="R127" s="754"/>
      <c r="S127" s="755"/>
      <c r="T127" s="758"/>
      <c r="U127" s="758"/>
      <c r="V127" s="758"/>
      <c r="W127" s="759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19"/>
    </row>
    <row r="128" spans="1:46" ht="4.7" customHeight="1" thickTop="1" x14ac:dyDescent="0.2">
      <c r="A128" s="761"/>
      <c r="B128" s="755"/>
      <c r="C128" s="755"/>
      <c r="D128" s="755"/>
      <c r="E128" s="755"/>
      <c r="F128" s="755"/>
      <c r="G128" s="755"/>
      <c r="H128" s="755"/>
      <c r="I128" s="13"/>
      <c r="J128" s="905"/>
      <c r="K128" s="905"/>
      <c r="L128" s="905"/>
      <c r="M128" s="905"/>
      <c r="N128" s="905"/>
      <c r="O128" s="905"/>
      <c r="P128" s="905"/>
      <c r="Q128" s="8"/>
      <c r="R128" s="754"/>
      <c r="S128" s="755"/>
      <c r="T128" s="758"/>
      <c r="U128" s="758"/>
      <c r="V128" s="758"/>
      <c r="W128" s="759"/>
      <c r="X128" s="15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7"/>
    </row>
    <row r="129" spans="1:46" ht="4.7" customHeight="1" x14ac:dyDescent="0.2">
      <c r="A129" s="761"/>
      <c r="B129" s="755"/>
      <c r="C129" s="755"/>
      <c r="D129" s="755"/>
      <c r="E129" s="755"/>
      <c r="F129" s="755"/>
      <c r="G129" s="755"/>
      <c r="H129" s="755"/>
      <c r="I129" s="13"/>
      <c r="J129" s="12"/>
      <c r="K129" s="12"/>
      <c r="L129" s="7"/>
      <c r="M129" s="7"/>
      <c r="N129" s="7"/>
      <c r="O129" s="7"/>
      <c r="P129" s="7"/>
      <c r="Q129" s="8"/>
      <c r="R129" s="754"/>
      <c r="S129" s="755"/>
      <c r="T129" s="758"/>
      <c r="U129" s="758"/>
      <c r="V129" s="758"/>
      <c r="W129" s="759"/>
      <c r="X129" s="1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19"/>
    </row>
    <row r="130" spans="1:46" ht="4.7" customHeight="1" x14ac:dyDescent="0.2">
      <c r="A130" s="23"/>
      <c r="B130" s="13"/>
      <c r="C130" s="13"/>
      <c r="D130" s="8"/>
      <c r="E130" s="8"/>
      <c r="F130" s="8"/>
      <c r="G130" s="8"/>
      <c r="H130" s="8"/>
      <c r="I130" s="10"/>
      <c r="J130" s="8"/>
      <c r="K130" s="8"/>
      <c r="L130" s="8"/>
      <c r="M130" s="8"/>
      <c r="N130" s="8"/>
      <c r="O130" s="8"/>
      <c r="P130" s="8"/>
      <c r="Q130" s="8"/>
      <c r="R130" s="11"/>
      <c r="S130" s="10"/>
      <c r="T130" s="10"/>
      <c r="U130" s="10"/>
      <c r="V130" s="10"/>
      <c r="W130" s="24"/>
      <c r="X130" s="1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19"/>
    </row>
    <row r="131" spans="1:46" ht="4.7" customHeight="1" x14ac:dyDescent="0.2">
      <c r="A131" s="760" t="s">
        <v>529</v>
      </c>
      <c r="B131" s="753"/>
      <c r="C131" s="753"/>
      <c r="D131" s="753"/>
      <c r="E131" s="753"/>
      <c r="F131" s="753"/>
      <c r="G131" s="753"/>
      <c r="H131" s="753"/>
      <c r="I131" s="753"/>
      <c r="J131" s="749"/>
      <c r="K131" s="750"/>
      <c r="L131" s="750"/>
      <c r="M131" s="750"/>
      <c r="N131" s="750"/>
      <c r="O131" s="750"/>
      <c r="P131" s="750"/>
      <c r="Q131" s="225"/>
      <c r="R131" s="752"/>
      <c r="S131" s="753"/>
      <c r="T131" s="756"/>
      <c r="U131" s="756"/>
      <c r="V131" s="756"/>
      <c r="W131" s="757"/>
      <c r="X131" s="1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19"/>
    </row>
    <row r="132" spans="1:46" ht="4.7" customHeight="1" x14ac:dyDescent="0.2">
      <c r="A132" s="761"/>
      <c r="B132" s="755"/>
      <c r="C132" s="755"/>
      <c r="D132" s="755"/>
      <c r="E132" s="755"/>
      <c r="F132" s="755"/>
      <c r="G132" s="755"/>
      <c r="H132" s="755"/>
      <c r="I132" s="755"/>
      <c r="J132" s="751"/>
      <c r="K132" s="751"/>
      <c r="L132" s="751"/>
      <c r="M132" s="751"/>
      <c r="N132" s="751"/>
      <c r="O132" s="751"/>
      <c r="P132" s="751"/>
      <c r="Q132" s="226"/>
      <c r="R132" s="754"/>
      <c r="S132" s="755"/>
      <c r="T132" s="758"/>
      <c r="U132" s="758"/>
      <c r="V132" s="758"/>
      <c r="W132" s="759"/>
      <c r="X132" s="1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19"/>
    </row>
    <row r="133" spans="1:46" ht="4.7" customHeight="1" x14ac:dyDescent="0.2">
      <c r="A133" s="761"/>
      <c r="B133" s="755"/>
      <c r="C133" s="755"/>
      <c r="D133" s="755"/>
      <c r="E133" s="755"/>
      <c r="F133" s="755"/>
      <c r="G133" s="755"/>
      <c r="H133" s="755"/>
      <c r="I133" s="755"/>
      <c r="J133" s="751"/>
      <c r="K133" s="751"/>
      <c r="L133" s="751"/>
      <c r="M133" s="751"/>
      <c r="N133" s="751"/>
      <c r="O133" s="751"/>
      <c r="P133" s="751"/>
      <c r="Q133" s="226"/>
      <c r="R133" s="754"/>
      <c r="S133" s="755"/>
      <c r="T133" s="758"/>
      <c r="U133" s="758"/>
      <c r="V133" s="758"/>
      <c r="W133" s="759"/>
      <c r="X133" s="1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19"/>
    </row>
    <row r="134" spans="1:46" ht="4.7" customHeight="1" x14ac:dyDescent="0.2">
      <c r="A134" s="761"/>
      <c r="B134" s="755"/>
      <c r="C134" s="755"/>
      <c r="D134" s="755"/>
      <c r="E134" s="755"/>
      <c r="F134" s="755"/>
      <c r="G134" s="755"/>
      <c r="H134" s="755"/>
      <c r="I134" s="755"/>
      <c r="J134" s="12"/>
      <c r="K134" s="12"/>
      <c r="L134" s="7"/>
      <c r="M134" s="7"/>
      <c r="N134" s="7"/>
      <c r="O134" s="7"/>
      <c r="P134" s="7"/>
      <c r="Q134" s="226"/>
      <c r="R134" s="754"/>
      <c r="S134" s="755"/>
      <c r="T134" s="758"/>
      <c r="U134" s="758"/>
      <c r="V134" s="758"/>
      <c r="W134" s="759"/>
      <c r="X134" s="1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19"/>
    </row>
    <row r="135" spans="1:46" ht="4.7" customHeight="1" x14ac:dyDescent="0.2">
      <c r="A135" s="28"/>
      <c r="B135" s="14"/>
      <c r="C135" s="14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227"/>
      <c r="R135" s="11"/>
      <c r="S135" s="10"/>
      <c r="T135" s="10"/>
      <c r="U135" s="10"/>
      <c r="V135" s="10"/>
      <c r="W135" s="24"/>
      <c r="X135" s="1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19"/>
    </row>
    <row r="136" spans="1:46" ht="4.7" customHeight="1" x14ac:dyDescent="0.2">
      <c r="W136" s="8"/>
      <c r="X136" s="18"/>
      <c r="Y136" s="8"/>
      <c r="Z136" s="8"/>
      <c r="AA136" s="8"/>
      <c r="AB136" s="8"/>
      <c r="AC136" s="8"/>
      <c r="AD136" s="276"/>
      <c r="AE136" s="276"/>
      <c r="AF136" s="276"/>
      <c r="AG136" s="276"/>
      <c r="AH136" s="276"/>
      <c r="AI136" s="276"/>
      <c r="AJ136" s="276"/>
      <c r="AK136" s="276"/>
      <c r="AL136" s="276"/>
      <c r="AM136" s="276"/>
      <c r="AN136" s="8"/>
      <c r="AO136" s="8"/>
      <c r="AP136" s="8"/>
      <c r="AQ136" s="276"/>
      <c r="AR136" s="276"/>
      <c r="AS136" s="276"/>
      <c r="AT136" s="29"/>
    </row>
    <row r="137" spans="1:46" ht="4.7" customHeight="1" x14ac:dyDescent="0.2">
      <c r="A137" s="804" t="s">
        <v>531</v>
      </c>
      <c r="B137" s="804"/>
      <c r="C137" s="804"/>
      <c r="D137" s="804"/>
      <c r="E137" s="804"/>
      <c r="F137" s="804"/>
      <c r="G137" s="804"/>
      <c r="H137" s="804"/>
      <c r="I137" s="804"/>
      <c r="J137" s="804"/>
      <c r="K137" s="804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18"/>
      <c r="Y137" s="785" t="s">
        <v>95</v>
      </c>
      <c r="Z137" s="785"/>
      <c r="AA137" s="785"/>
      <c r="AB137" s="785"/>
      <c r="AC137" s="785"/>
      <c r="AD137" s="276"/>
      <c r="AE137" s="276"/>
      <c r="AF137" s="276"/>
      <c r="AG137" s="276"/>
      <c r="AH137" s="276"/>
      <c r="AI137" s="276"/>
      <c r="AJ137" s="276"/>
      <c r="AK137" s="276"/>
      <c r="AL137" s="276"/>
      <c r="AM137" s="276"/>
      <c r="AN137" s="8"/>
      <c r="AO137" s="785" t="s">
        <v>19</v>
      </c>
      <c r="AP137" s="785"/>
      <c r="AQ137" s="276"/>
      <c r="AR137" s="276"/>
      <c r="AS137" s="276"/>
      <c r="AT137" s="29"/>
    </row>
    <row r="138" spans="1:46" ht="4.7" customHeight="1" x14ac:dyDescent="0.2">
      <c r="A138" s="804"/>
      <c r="B138" s="804"/>
      <c r="C138" s="804"/>
      <c r="D138" s="804"/>
      <c r="E138" s="804"/>
      <c r="F138" s="804"/>
      <c r="G138" s="804"/>
      <c r="H138" s="804"/>
      <c r="I138" s="804"/>
      <c r="J138" s="804"/>
      <c r="K138" s="804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18"/>
      <c r="Y138" s="785"/>
      <c r="Z138" s="785"/>
      <c r="AA138" s="785"/>
      <c r="AB138" s="785"/>
      <c r="AC138" s="785"/>
      <c r="AD138" s="279"/>
      <c r="AE138" s="279"/>
      <c r="AF138" s="279"/>
      <c r="AG138" s="279"/>
      <c r="AH138" s="279"/>
      <c r="AI138" s="279"/>
      <c r="AJ138" s="279"/>
      <c r="AK138" s="279"/>
      <c r="AL138" s="279"/>
      <c r="AM138" s="279"/>
      <c r="AN138" s="8"/>
      <c r="AO138" s="785"/>
      <c r="AP138" s="785"/>
      <c r="AQ138" s="279"/>
      <c r="AR138" s="279"/>
      <c r="AS138" s="279"/>
      <c r="AT138" s="34"/>
    </row>
    <row r="139" spans="1:46" ht="4.7" customHeight="1" thickBot="1" x14ac:dyDescent="0.25">
      <c r="A139" s="8"/>
      <c r="B139" s="8"/>
      <c r="C139" s="762"/>
      <c r="D139" s="276"/>
      <c r="E139" s="276"/>
      <c r="F139" s="276"/>
      <c r="G139" s="276"/>
      <c r="H139" s="276"/>
      <c r="I139" s="276"/>
      <c r="J139" s="276"/>
      <c r="K139" s="276"/>
      <c r="L139" s="276"/>
      <c r="M139" s="276"/>
      <c r="N139" s="276"/>
      <c r="O139" s="276"/>
      <c r="P139" s="276"/>
      <c r="Q139" s="276"/>
      <c r="R139" s="276"/>
      <c r="S139" s="276"/>
      <c r="T139" s="276"/>
      <c r="U139" s="276"/>
      <c r="V139" s="276"/>
      <c r="W139" s="8"/>
      <c r="X139" s="20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2"/>
    </row>
    <row r="140" spans="1:46" ht="4.7" customHeight="1" thickTop="1" x14ac:dyDescent="0.2">
      <c r="A140" s="8"/>
      <c r="B140" s="8"/>
      <c r="C140" s="276"/>
      <c r="D140" s="276"/>
      <c r="E140" s="276"/>
      <c r="F140" s="276"/>
      <c r="G140" s="276"/>
      <c r="H140" s="276"/>
      <c r="I140" s="276"/>
      <c r="J140" s="276"/>
      <c r="K140" s="276"/>
      <c r="L140" s="276"/>
      <c r="M140" s="276"/>
      <c r="N140" s="276"/>
      <c r="O140" s="276"/>
      <c r="P140" s="276"/>
      <c r="Q140" s="276"/>
      <c r="R140" s="276"/>
      <c r="S140" s="276"/>
      <c r="T140" s="276"/>
      <c r="U140" s="276"/>
      <c r="V140" s="276"/>
      <c r="W140" s="8"/>
      <c r="X140" s="8"/>
      <c r="AT140" s="8"/>
    </row>
    <row r="141" spans="1:46" ht="4.7" customHeight="1" x14ac:dyDescent="0.2">
      <c r="A141" s="8"/>
      <c r="B141" s="8"/>
      <c r="C141" s="276"/>
      <c r="D141" s="276"/>
      <c r="E141" s="276"/>
      <c r="F141" s="276"/>
      <c r="G141" s="276"/>
      <c r="H141" s="276"/>
      <c r="I141" s="276"/>
      <c r="J141" s="276"/>
      <c r="K141" s="276"/>
      <c r="L141" s="276"/>
      <c r="M141" s="276"/>
      <c r="N141" s="276"/>
      <c r="O141" s="276"/>
      <c r="P141" s="276"/>
      <c r="Q141" s="276"/>
      <c r="R141" s="276"/>
      <c r="S141" s="276"/>
      <c r="T141" s="276"/>
      <c r="U141" s="276"/>
      <c r="V141" s="276"/>
      <c r="W141" s="8"/>
      <c r="X141" s="8"/>
      <c r="AT141" s="8"/>
    </row>
    <row r="142" spans="1:46" ht="4.7" customHeight="1" x14ac:dyDescent="0.2">
      <c r="A142" s="8"/>
      <c r="B142" s="8"/>
      <c r="C142" s="276"/>
      <c r="D142" s="276"/>
      <c r="E142" s="276"/>
      <c r="F142" s="276"/>
      <c r="G142" s="276"/>
      <c r="H142" s="276"/>
      <c r="I142" s="276"/>
      <c r="J142" s="276"/>
      <c r="K142" s="276"/>
      <c r="L142" s="276"/>
      <c r="M142" s="276"/>
      <c r="N142" s="276"/>
      <c r="O142" s="276"/>
      <c r="P142" s="276"/>
      <c r="Q142" s="276"/>
      <c r="R142" s="276"/>
      <c r="S142" s="276"/>
      <c r="T142" s="276"/>
      <c r="U142" s="276"/>
      <c r="V142" s="276"/>
      <c r="W142" s="8"/>
      <c r="X142" s="8"/>
      <c r="AT142" s="8"/>
    </row>
    <row r="143" spans="1:46" ht="4.7" customHeight="1" x14ac:dyDescent="0.2">
      <c r="A143" s="8"/>
      <c r="B143" s="8"/>
      <c r="C143" s="276"/>
      <c r="D143" s="276"/>
      <c r="E143" s="276"/>
      <c r="F143" s="276"/>
      <c r="G143" s="276"/>
      <c r="H143" s="276"/>
      <c r="I143" s="276"/>
      <c r="J143" s="276"/>
      <c r="K143" s="276"/>
      <c r="L143" s="276"/>
      <c r="M143" s="276"/>
      <c r="N143" s="276"/>
      <c r="O143" s="276"/>
      <c r="P143" s="276"/>
      <c r="Q143" s="276"/>
      <c r="R143" s="276"/>
      <c r="S143" s="276"/>
      <c r="T143" s="276"/>
      <c r="U143" s="276"/>
      <c r="V143" s="276"/>
      <c r="W143" s="8"/>
      <c r="X143" s="8"/>
      <c r="AT143" s="8"/>
    </row>
    <row r="144" spans="1:46" ht="4.7" customHeight="1" x14ac:dyDescent="0.2">
      <c r="A144" s="8"/>
      <c r="B144" s="8"/>
      <c r="C144" s="276"/>
      <c r="D144" s="276"/>
      <c r="E144" s="276"/>
      <c r="F144" s="276"/>
      <c r="G144" s="276"/>
      <c r="H144" s="276"/>
      <c r="I144" s="276"/>
      <c r="J144" s="276"/>
      <c r="K144" s="276"/>
      <c r="L144" s="276"/>
      <c r="M144" s="276"/>
      <c r="N144" s="276"/>
      <c r="O144" s="276"/>
      <c r="P144" s="276"/>
      <c r="Q144" s="276"/>
      <c r="R144" s="276"/>
      <c r="S144" s="276"/>
      <c r="T144" s="276"/>
      <c r="U144" s="276"/>
      <c r="V144" s="276"/>
      <c r="W144" s="8"/>
    </row>
    <row r="145" spans="1:23" ht="4.7" customHeight="1" x14ac:dyDescent="0.2">
      <c r="A145" s="8"/>
      <c r="B145" s="8"/>
      <c r="C145" s="276"/>
      <c r="D145" s="276"/>
      <c r="E145" s="276"/>
      <c r="F145" s="276"/>
      <c r="G145" s="276"/>
      <c r="H145" s="276"/>
      <c r="I145" s="276"/>
      <c r="J145" s="276"/>
      <c r="K145" s="276"/>
      <c r="L145" s="276"/>
      <c r="M145" s="276"/>
      <c r="N145" s="276"/>
      <c r="O145" s="276"/>
      <c r="P145" s="276"/>
      <c r="Q145" s="276"/>
      <c r="R145" s="276"/>
      <c r="S145" s="276"/>
      <c r="T145" s="276"/>
      <c r="U145" s="276"/>
      <c r="V145" s="276"/>
      <c r="W145" s="8"/>
    </row>
    <row r="146" spans="1:23" ht="4.7" customHeight="1" x14ac:dyDescent="0.2">
      <c r="A146" s="8"/>
      <c r="B146" s="8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8"/>
    </row>
    <row r="147" spans="1:23" ht="4.7" customHeight="1" x14ac:dyDescent="0.2">
      <c r="A147" s="8"/>
      <c r="B147" s="8"/>
    </row>
    <row r="148" spans="1:23" ht="4.7" customHeight="1" x14ac:dyDescent="0.2">
      <c r="A148" s="8"/>
      <c r="B148" s="8"/>
    </row>
    <row r="149" spans="1:23" ht="4.7" customHeight="1" x14ac:dyDescent="0.2">
      <c r="A149" s="8"/>
      <c r="B149" s="8"/>
    </row>
    <row r="150" spans="1:23" ht="4.7" customHeight="1" x14ac:dyDescent="0.2">
      <c r="A150" s="8"/>
      <c r="B150" s="8"/>
    </row>
    <row r="151" spans="1:23" ht="4.7" customHeight="1" x14ac:dyDescent="0.2">
      <c r="A151" s="8"/>
      <c r="B151" s="8"/>
    </row>
    <row r="152" spans="1:23" ht="4.3499999999999996" customHeight="1" x14ac:dyDescent="0.2"/>
    <row r="153" spans="1:23" ht="4.3499999999999996" customHeight="1" x14ac:dyDescent="0.2"/>
    <row r="154" spans="1:23" ht="5.85" customHeight="1" x14ac:dyDescent="0.2"/>
    <row r="155" spans="1:23" ht="5.85" customHeight="1" x14ac:dyDescent="0.2"/>
    <row r="156" spans="1:23" ht="5.85" customHeight="1" x14ac:dyDescent="0.2"/>
    <row r="157" spans="1:23" ht="5.85" customHeight="1" x14ac:dyDescent="0.2"/>
    <row r="158" spans="1:23" ht="5.85" customHeight="1" x14ac:dyDescent="0.2"/>
    <row r="159" spans="1:23" ht="5.85" customHeight="1" x14ac:dyDescent="0.2"/>
    <row r="160" spans="1:23" ht="5.85" customHeight="1" x14ac:dyDescent="0.2"/>
    <row r="161" spans="25:45" ht="5.85" customHeight="1" x14ac:dyDescent="0.2"/>
    <row r="162" spans="25:45" ht="5.85" customHeight="1" x14ac:dyDescent="0.2"/>
    <row r="163" spans="25:45" ht="5.85" customHeight="1" x14ac:dyDescent="0.2"/>
    <row r="164" spans="25:45" ht="5.85" customHeight="1" x14ac:dyDescent="0.2"/>
    <row r="165" spans="25:45" ht="5.85" customHeight="1" x14ac:dyDescent="0.2"/>
    <row r="166" spans="25:45" ht="5.85" customHeight="1" x14ac:dyDescent="0.2"/>
    <row r="167" spans="25:45" ht="5.85" customHeight="1" x14ac:dyDescent="0.2"/>
    <row r="168" spans="25:45" ht="5.85" customHeight="1" x14ac:dyDescent="0.2"/>
    <row r="169" spans="25:45" ht="5.85" customHeight="1" x14ac:dyDescent="0.2"/>
    <row r="170" spans="25:45" x14ac:dyDescent="0.2"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8"/>
      <c r="AO170" s="8"/>
      <c r="AP170" s="8"/>
      <c r="AQ170" s="8"/>
      <c r="AR170" s="8"/>
      <c r="AS170" s="8"/>
    </row>
  </sheetData>
  <sheetProtection sheet="1" selectLockedCells="1"/>
  <mergeCells count="341">
    <mergeCell ref="A137:K138"/>
    <mergeCell ref="R126:S129"/>
    <mergeCell ref="T126:W129"/>
    <mergeCell ref="J126:P128"/>
    <mergeCell ref="A117:F119"/>
    <mergeCell ref="A120:F122"/>
    <mergeCell ref="G117:K119"/>
    <mergeCell ref="G120:K122"/>
    <mergeCell ref="AO102:AS103"/>
    <mergeCell ref="AO104:AS105"/>
    <mergeCell ref="AO106:AS107"/>
    <mergeCell ref="AO108:AS109"/>
    <mergeCell ref="A123:F125"/>
    <mergeCell ref="G123:K125"/>
    <mergeCell ref="Y120:AM121"/>
    <mergeCell ref="AO137:AP138"/>
    <mergeCell ref="AQ136:AS138"/>
    <mergeCell ref="Y137:AC138"/>
    <mergeCell ref="AD136:AM138"/>
    <mergeCell ref="L120:O122"/>
    <mergeCell ref="A105:C107"/>
    <mergeCell ref="D105:F107"/>
    <mergeCell ref="A108:C110"/>
    <mergeCell ref="D108:F110"/>
    <mergeCell ref="AO96:AS97"/>
    <mergeCell ref="AO98:AS99"/>
    <mergeCell ref="AO100:AS101"/>
    <mergeCell ref="AO118:AS119"/>
    <mergeCell ref="AO120:AS121"/>
    <mergeCell ref="AO86:AS87"/>
    <mergeCell ref="AO88:AS89"/>
    <mergeCell ref="AO90:AS91"/>
    <mergeCell ref="AO92:AS95"/>
    <mergeCell ref="AO77:AS78"/>
    <mergeCell ref="AO82:AS83"/>
    <mergeCell ref="AO84:AS85"/>
    <mergeCell ref="AO79:AS81"/>
    <mergeCell ref="AO74:AS75"/>
    <mergeCell ref="AN72:AN73"/>
    <mergeCell ref="AO70:AS71"/>
    <mergeCell ref="AO56:AS57"/>
    <mergeCell ref="AO58:AS59"/>
    <mergeCell ref="AO60:AS61"/>
    <mergeCell ref="AO72:AS73"/>
    <mergeCell ref="AO62:AS63"/>
    <mergeCell ref="AO64:AS65"/>
    <mergeCell ref="AO66:AS67"/>
    <mergeCell ref="AO68:AS69"/>
    <mergeCell ref="L96:O98"/>
    <mergeCell ref="P96:S98"/>
    <mergeCell ref="T96:W98"/>
    <mergeCell ref="Y114:AM115"/>
    <mergeCell ref="Y116:AM117"/>
    <mergeCell ref="Y118:AM119"/>
    <mergeCell ref="T105:W107"/>
    <mergeCell ref="G108:K110"/>
    <mergeCell ref="L108:O110"/>
    <mergeCell ref="P108:S110"/>
    <mergeCell ref="T108:W110"/>
    <mergeCell ref="L105:O107"/>
    <mergeCell ref="P105:S107"/>
    <mergeCell ref="T114:W116"/>
    <mergeCell ref="G114:K116"/>
    <mergeCell ref="Y102:AM103"/>
    <mergeCell ref="Y100:AM101"/>
    <mergeCell ref="Y104:AM105"/>
    <mergeCell ref="Y112:AM113"/>
    <mergeCell ref="Y106:AM107"/>
    <mergeCell ref="Y108:AM109"/>
    <mergeCell ref="Y110:AM111"/>
    <mergeCell ref="G105:K107"/>
    <mergeCell ref="P87:S89"/>
    <mergeCell ref="T87:W89"/>
    <mergeCell ref="A111:C113"/>
    <mergeCell ref="D111:F113"/>
    <mergeCell ref="A87:C89"/>
    <mergeCell ref="D87:F89"/>
    <mergeCell ref="A90:C92"/>
    <mergeCell ref="D90:F92"/>
    <mergeCell ref="P111:S113"/>
    <mergeCell ref="L111:O113"/>
    <mergeCell ref="G111:K113"/>
    <mergeCell ref="G90:K92"/>
    <mergeCell ref="L90:O92"/>
    <mergeCell ref="P90:S92"/>
    <mergeCell ref="T90:W92"/>
    <mergeCell ref="G93:K95"/>
    <mergeCell ref="G102:K104"/>
    <mergeCell ref="L102:O104"/>
    <mergeCell ref="P102:S104"/>
    <mergeCell ref="T102:W104"/>
    <mergeCell ref="G99:K101"/>
    <mergeCell ref="L99:O101"/>
    <mergeCell ref="P99:S101"/>
    <mergeCell ref="G96:K98"/>
    <mergeCell ref="A99:C101"/>
    <mergeCell ref="D99:F101"/>
    <mergeCell ref="A102:C104"/>
    <mergeCell ref="D102:F104"/>
    <mergeCell ref="A84:C86"/>
    <mergeCell ref="D84:F86"/>
    <mergeCell ref="A81:F83"/>
    <mergeCell ref="A93:C95"/>
    <mergeCell ref="D93:F95"/>
    <mergeCell ref="A96:C98"/>
    <mergeCell ref="D96:F98"/>
    <mergeCell ref="A59:C61"/>
    <mergeCell ref="D59:F61"/>
    <mergeCell ref="G77:S79"/>
    <mergeCell ref="R71:S75"/>
    <mergeCell ref="A77:C80"/>
    <mergeCell ref="P56:S58"/>
    <mergeCell ref="L56:O58"/>
    <mergeCell ref="Y70:AM71"/>
    <mergeCell ref="Y72:AC73"/>
    <mergeCell ref="AH72:AJ73"/>
    <mergeCell ref="AK72:AM73"/>
    <mergeCell ref="Y79:AM81"/>
    <mergeCell ref="E77:E78"/>
    <mergeCell ref="T59:W61"/>
    <mergeCell ref="T62:W64"/>
    <mergeCell ref="L62:O64"/>
    <mergeCell ref="P62:S64"/>
    <mergeCell ref="A71:H75"/>
    <mergeCell ref="J72:P74"/>
    <mergeCell ref="A65:F67"/>
    <mergeCell ref="A68:F70"/>
    <mergeCell ref="AO1:AT4"/>
    <mergeCell ref="Y98:AM99"/>
    <mergeCell ref="T81:W86"/>
    <mergeCell ref="T93:W95"/>
    <mergeCell ref="T99:W101"/>
    <mergeCell ref="P120:S122"/>
    <mergeCell ref="L117:O119"/>
    <mergeCell ref="P117:S119"/>
    <mergeCell ref="T117:W119"/>
    <mergeCell ref="T120:W122"/>
    <mergeCell ref="T111:W113"/>
    <mergeCell ref="L114:O116"/>
    <mergeCell ref="P114:S116"/>
    <mergeCell ref="Y77:AM78"/>
    <mergeCell ref="Y82:AM83"/>
    <mergeCell ref="AA94:AM95"/>
    <mergeCell ref="Y84:AM85"/>
    <mergeCell ref="Y86:AM87"/>
    <mergeCell ref="Y88:AM89"/>
    <mergeCell ref="Y90:AM91"/>
    <mergeCell ref="Y66:AM67"/>
    <mergeCell ref="Y68:AM69"/>
    <mergeCell ref="AF46:AH47"/>
    <mergeCell ref="AR42:AT43"/>
    <mergeCell ref="AJ38:AM39"/>
    <mergeCell ref="AR38:AT39"/>
    <mergeCell ref="AJ40:AL41"/>
    <mergeCell ref="AR40:AT41"/>
    <mergeCell ref="AJ42:AM43"/>
    <mergeCell ref="G53:K55"/>
    <mergeCell ref="AJ46:AM47"/>
    <mergeCell ref="AP46:AT47"/>
    <mergeCell ref="T71:W75"/>
    <mergeCell ref="G62:K64"/>
    <mergeCell ref="G68:K70"/>
    <mergeCell ref="L65:O67"/>
    <mergeCell ref="L68:W70"/>
    <mergeCell ref="G65:K67"/>
    <mergeCell ref="Y74:AM75"/>
    <mergeCell ref="Y58:AM59"/>
    <mergeCell ref="Y60:AM61"/>
    <mergeCell ref="Y62:AM63"/>
    <mergeCell ref="Y64:AM65"/>
    <mergeCell ref="Y56:AM57"/>
    <mergeCell ref="AD72:AG73"/>
    <mergeCell ref="Y54:AM55"/>
    <mergeCell ref="G56:K58"/>
    <mergeCell ref="AJ44:AN45"/>
    <mergeCell ref="A114:C116"/>
    <mergeCell ref="D114:F116"/>
    <mergeCell ref="AO110:AS111"/>
    <mergeCell ref="AO112:AS113"/>
    <mergeCell ref="AO114:AS115"/>
    <mergeCell ref="AO116:AS117"/>
    <mergeCell ref="A126:H129"/>
    <mergeCell ref="AR44:AT45"/>
    <mergeCell ref="Y92:AM93"/>
    <mergeCell ref="Y96:AM97"/>
    <mergeCell ref="A62:C64"/>
    <mergeCell ref="D62:F64"/>
    <mergeCell ref="A53:C55"/>
    <mergeCell ref="D53:F55"/>
    <mergeCell ref="L93:O95"/>
    <mergeCell ref="P93:S95"/>
    <mergeCell ref="G87:K89"/>
    <mergeCell ref="L87:O89"/>
    <mergeCell ref="G81:K86"/>
    <mergeCell ref="L81:O86"/>
    <mergeCell ref="P81:S86"/>
    <mergeCell ref="A56:C58"/>
    <mergeCell ref="D56:F58"/>
    <mergeCell ref="A51:C52"/>
    <mergeCell ref="AR36:AT37"/>
    <mergeCell ref="X30:AT31"/>
    <mergeCell ref="Y32:AB33"/>
    <mergeCell ref="AC32:AH33"/>
    <mergeCell ref="AK32:AN33"/>
    <mergeCell ref="AO15:AO16"/>
    <mergeCell ref="AO32:AS33"/>
    <mergeCell ref="AR34:AT35"/>
    <mergeCell ref="AJ36:AP37"/>
    <mergeCell ref="Z18:Z19"/>
    <mergeCell ref="AO26:AT28"/>
    <mergeCell ref="X34:AA35"/>
    <mergeCell ref="AJ34:AP35"/>
    <mergeCell ref="AK18:AT20"/>
    <mergeCell ref="AP50:AS51"/>
    <mergeCell ref="AJ50:AO51"/>
    <mergeCell ref="AO54:AS55"/>
    <mergeCell ref="AD50:AH51"/>
    <mergeCell ref="AF48:AH49"/>
    <mergeCell ref="G59:K61"/>
    <mergeCell ref="L59:O61"/>
    <mergeCell ref="P59:S61"/>
    <mergeCell ref="L53:O55"/>
    <mergeCell ref="P53:S55"/>
    <mergeCell ref="T53:W55"/>
    <mergeCell ref="T56:W58"/>
    <mergeCell ref="P47:S48"/>
    <mergeCell ref="T47:W48"/>
    <mergeCell ref="L49:O50"/>
    <mergeCell ref="P49:S50"/>
    <mergeCell ref="T49:W50"/>
    <mergeCell ref="L51:O52"/>
    <mergeCell ref="P51:S52"/>
    <mergeCell ref="T51:W52"/>
    <mergeCell ref="G47:K48"/>
    <mergeCell ref="A49:C50"/>
    <mergeCell ref="X50:AA51"/>
    <mergeCell ref="X48:AB49"/>
    <mergeCell ref="A45:C46"/>
    <mergeCell ref="X42:Z43"/>
    <mergeCell ref="X40:AA41"/>
    <mergeCell ref="D49:F50"/>
    <mergeCell ref="D51:F52"/>
    <mergeCell ref="G49:K50"/>
    <mergeCell ref="G51:K52"/>
    <mergeCell ref="L43:O44"/>
    <mergeCell ref="D45:F46"/>
    <mergeCell ref="D47:F48"/>
    <mergeCell ref="T45:W46"/>
    <mergeCell ref="A47:C48"/>
    <mergeCell ref="L37:O40"/>
    <mergeCell ref="X46:AA47"/>
    <mergeCell ref="X44:Z45"/>
    <mergeCell ref="X38:AD39"/>
    <mergeCell ref="X36:AD37"/>
    <mergeCell ref="L47:O48"/>
    <mergeCell ref="G41:K42"/>
    <mergeCell ref="G43:K44"/>
    <mergeCell ref="G45:K46"/>
    <mergeCell ref="L45:O46"/>
    <mergeCell ref="P45:S46"/>
    <mergeCell ref="T43:W44"/>
    <mergeCell ref="AF42:AH43"/>
    <mergeCell ref="AF44:AH45"/>
    <mergeCell ref="E34:E35"/>
    <mergeCell ref="A37:F38"/>
    <mergeCell ref="AL9:AQ10"/>
    <mergeCell ref="A41:C42"/>
    <mergeCell ref="D41:F42"/>
    <mergeCell ref="AM27:AN28"/>
    <mergeCell ref="Q26:W28"/>
    <mergeCell ref="Y27:AB28"/>
    <mergeCell ref="AC26:AK28"/>
    <mergeCell ref="G37:K40"/>
    <mergeCell ref="L41:O42"/>
    <mergeCell ref="P41:S42"/>
    <mergeCell ref="T37:W40"/>
    <mergeCell ref="AF34:AH35"/>
    <mergeCell ref="AF36:AH37"/>
    <mergeCell ref="AF38:AH39"/>
    <mergeCell ref="AF40:AH41"/>
    <mergeCell ref="P37:S40"/>
    <mergeCell ref="A34:D36"/>
    <mergeCell ref="O27:P28"/>
    <mergeCell ref="A43:C44"/>
    <mergeCell ref="T41:W42"/>
    <mergeCell ref="A27:D28"/>
    <mergeCell ref="E26:M28"/>
    <mergeCell ref="G6:Q7"/>
    <mergeCell ref="T19:W20"/>
    <mergeCell ref="A19:D20"/>
    <mergeCell ref="P16:Q17"/>
    <mergeCell ref="S15:X16"/>
    <mergeCell ref="A30:W33"/>
    <mergeCell ref="G34:M35"/>
    <mergeCell ref="Q34:T35"/>
    <mergeCell ref="U34:V35"/>
    <mergeCell ref="G15:N16"/>
    <mergeCell ref="AL6:AT7"/>
    <mergeCell ref="AC12:AF13"/>
    <mergeCell ref="W13:AA14"/>
    <mergeCell ref="AH7:AJ8"/>
    <mergeCell ref="AH10:AJ11"/>
    <mergeCell ref="AL12:AR13"/>
    <mergeCell ref="F18:Q19"/>
    <mergeCell ref="P12:U13"/>
    <mergeCell ref="S6:X8"/>
    <mergeCell ref="Y6:AF7"/>
    <mergeCell ref="S9:X11"/>
    <mergeCell ref="Y9:AF10"/>
    <mergeCell ref="A13:F14"/>
    <mergeCell ref="A16:F17"/>
    <mergeCell ref="Z16:AC17"/>
    <mergeCell ref="AE15:AH16"/>
    <mergeCell ref="G12:G13"/>
    <mergeCell ref="AH13:AJ14"/>
    <mergeCell ref="J13:N14"/>
    <mergeCell ref="AJ16:AM17"/>
    <mergeCell ref="L123:W125"/>
    <mergeCell ref="P65:W67"/>
    <mergeCell ref="J131:P133"/>
    <mergeCell ref="R131:S134"/>
    <mergeCell ref="T131:W134"/>
    <mergeCell ref="A131:I134"/>
    <mergeCell ref="C139:V145"/>
    <mergeCell ref="P1:AG1"/>
    <mergeCell ref="H3:H4"/>
    <mergeCell ref="R2:AE2"/>
    <mergeCell ref="A1:J1"/>
    <mergeCell ref="J4:T5"/>
    <mergeCell ref="D43:F44"/>
    <mergeCell ref="P43:S44"/>
    <mergeCell ref="G9:N10"/>
    <mergeCell ref="A39:C40"/>
    <mergeCell ref="D39:F40"/>
    <mergeCell ref="A22:D23"/>
    <mergeCell ref="A3:F5"/>
    <mergeCell ref="A7:F8"/>
    <mergeCell ref="A10:F11"/>
    <mergeCell ref="F21:AS24"/>
    <mergeCell ref="AQ16:AR17"/>
    <mergeCell ref="AF19:AI20"/>
  </mergeCells>
  <phoneticPr fontId="2" type="noConversion"/>
  <conditionalFormatting sqref="G68:K70">
    <cfRule type="cellIs" dxfId="1" priority="2" operator="equal">
      <formula>0</formula>
    </cfRule>
  </conditionalFormatting>
  <conditionalFormatting sqref="G120:K125">
    <cfRule type="cellIs" dxfId="0" priority="1" operator="equal">
      <formula>0</formula>
    </cfRule>
  </conditionalFormatting>
  <dataValidations count="4">
    <dataValidation type="list" allowBlank="1" showInputMessage="1" showErrorMessage="1" sqref="E34 E77">
      <formula1>"1,2"</formula1>
    </dataValidation>
    <dataValidation type="list" allowBlank="1" showInputMessage="1" showErrorMessage="1" sqref="AO15:AO16">
      <formula1>"1,2,3,4"</formula1>
    </dataValidation>
    <dataValidation type="list" allowBlank="1" showInputMessage="1" showErrorMessage="1" sqref="H3:H4">
      <formula1>"M,E"</formula1>
    </dataValidation>
    <dataValidation type="list" allowBlank="1" showInputMessage="1" showErrorMessage="1" sqref="U34:V35">
      <formula1>"A, B, C"</formula1>
    </dataValidation>
  </dataValidations>
  <pageMargins left="0.23" right="0.17" top="0.18" bottom="0.17" header="0" footer="0"/>
  <pageSetup fitToHeight="0" orientation="portrait" r:id="rId1"/>
  <headerFooter alignWithMargins="0"/>
  <ignoredErrors>
    <ignoredError sqref="D102 A105:F119" numberStoredAsText="1"/>
    <ignoredError sqref="L42:S42 T42 U41:W42 T54:T55 U53:W55 L54:S55 M41:O41 P44:S44 M53:O53 Q41:S41 Q43:S43 Q53:S53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39"/>
  <sheetViews>
    <sheetView workbookViewId="0">
      <selection activeCell="F19" sqref="F19:G19"/>
    </sheetView>
  </sheetViews>
  <sheetFormatPr defaultRowHeight="12.75" x14ac:dyDescent="0.2"/>
  <cols>
    <col min="1" max="1" width="9.28515625" customWidth="1"/>
    <col min="2" max="2" width="16.42578125" customWidth="1"/>
    <col min="3" max="3" width="3.5703125" customWidth="1"/>
    <col min="4" max="4" width="2.140625" style="35" customWidth="1"/>
    <col min="5" max="5" width="15.7109375" customWidth="1"/>
    <col min="6" max="6" width="5.7109375" customWidth="1"/>
    <col min="7" max="7" width="10.7109375" customWidth="1"/>
    <col min="8" max="8" width="2.42578125" style="39" customWidth="1"/>
    <col min="10" max="10" width="15.7109375" customWidth="1"/>
    <col min="11" max="11" width="16.5703125" customWidth="1"/>
    <col min="12" max="12" width="2.85546875" customWidth="1"/>
    <col min="13" max="13" width="12" customWidth="1"/>
    <col min="14" max="14" width="6.5703125" customWidth="1"/>
  </cols>
  <sheetData>
    <row r="1" spans="1:15" ht="18" customHeight="1" thickTop="1" x14ac:dyDescent="0.2">
      <c r="A1" s="950" t="s">
        <v>96</v>
      </c>
      <c r="B1" s="951"/>
      <c r="C1" s="951"/>
      <c r="D1" s="951"/>
      <c r="E1" s="951"/>
      <c r="F1" s="952" t="s">
        <v>97</v>
      </c>
      <c r="G1" s="953"/>
      <c r="H1" s="45"/>
      <c r="I1" s="940" t="s">
        <v>149</v>
      </c>
      <c r="J1" s="941"/>
      <c r="K1" s="941"/>
      <c r="L1" s="941"/>
      <c r="M1" s="941"/>
      <c r="N1" s="941"/>
      <c r="O1" s="942"/>
    </row>
    <row r="2" spans="1:15" ht="18" customHeight="1" x14ac:dyDescent="0.2">
      <c r="A2" s="18" t="s">
        <v>18</v>
      </c>
      <c r="B2" s="221"/>
      <c r="C2" s="919"/>
      <c r="D2" s="919"/>
      <c r="E2" s="919"/>
      <c r="F2" s="39" t="s">
        <v>19</v>
      </c>
      <c r="G2" s="221"/>
      <c r="H2" s="45"/>
      <c r="I2" s="943" t="s">
        <v>150</v>
      </c>
      <c r="J2" s="944"/>
      <c r="K2" s="944"/>
      <c r="L2" s="944"/>
      <c r="M2" s="944"/>
      <c r="N2" s="944"/>
      <c r="O2" s="945"/>
    </row>
    <row r="3" spans="1:15" ht="3.75" customHeight="1" x14ac:dyDescent="0.2">
      <c r="A3" s="45"/>
      <c r="B3" s="39"/>
      <c r="C3" s="933"/>
      <c r="D3" s="933"/>
      <c r="E3" s="933"/>
      <c r="F3" s="39"/>
      <c r="G3" s="39"/>
      <c r="H3" s="45"/>
      <c r="I3" s="760" t="s">
        <v>18</v>
      </c>
      <c r="J3" s="590"/>
      <c r="K3" s="587"/>
      <c r="L3" s="587"/>
      <c r="M3" s="587"/>
      <c r="N3" s="587" t="s">
        <v>19</v>
      </c>
      <c r="O3" s="954"/>
    </row>
    <row r="4" spans="1:15" ht="18" customHeight="1" x14ac:dyDescent="0.2">
      <c r="A4" s="946" t="s">
        <v>100</v>
      </c>
      <c r="B4" s="947"/>
      <c r="C4" s="947"/>
      <c r="D4" s="947"/>
      <c r="E4" s="947"/>
      <c r="F4" s="947"/>
      <c r="G4" s="948"/>
      <c r="H4" s="45"/>
      <c r="I4" s="761"/>
      <c r="J4" s="522"/>
      <c r="K4" s="919"/>
      <c r="L4" s="919"/>
      <c r="M4" s="919"/>
      <c r="N4" s="919"/>
      <c r="O4" s="935"/>
    </row>
    <row r="5" spans="1:15" ht="3.75" customHeight="1" x14ac:dyDescent="0.2">
      <c r="A5" s="801"/>
      <c r="B5" s="802"/>
      <c r="C5" s="802"/>
      <c r="D5" s="802"/>
      <c r="E5" s="802"/>
      <c r="F5" s="802"/>
      <c r="G5" s="949"/>
      <c r="H5" s="45"/>
      <c r="I5" s="18"/>
      <c r="J5" s="39"/>
      <c r="K5" s="933"/>
      <c r="L5" s="933"/>
      <c r="M5" s="933"/>
      <c r="N5" s="39"/>
      <c r="O5" s="38"/>
    </row>
    <row r="6" spans="1:15" ht="18" customHeight="1" x14ac:dyDescent="0.2">
      <c r="A6" s="936" t="s">
        <v>98</v>
      </c>
      <c r="B6" s="937"/>
      <c r="C6" s="938"/>
      <c r="D6" s="42" t="s">
        <v>99</v>
      </c>
      <c r="E6" s="41"/>
      <c r="F6" s="525"/>
      <c r="G6" s="525"/>
      <c r="H6" s="45"/>
      <c r="I6" s="936" t="s">
        <v>151</v>
      </c>
      <c r="J6" s="937"/>
      <c r="K6" s="937"/>
      <c r="L6" s="42" t="s">
        <v>140</v>
      </c>
      <c r="M6" s="41"/>
      <c r="N6" s="471"/>
      <c r="O6" s="472"/>
    </row>
    <row r="7" spans="1:15" ht="18" customHeight="1" x14ac:dyDescent="0.2">
      <c r="A7" s="936" t="s">
        <v>101</v>
      </c>
      <c r="B7" s="937"/>
      <c r="C7" s="938"/>
      <c r="D7" s="42" t="s">
        <v>104</v>
      </c>
      <c r="E7" s="41"/>
      <c r="F7" s="525"/>
      <c r="G7" s="525"/>
      <c r="H7" s="45"/>
      <c r="I7" s="936" t="s">
        <v>152</v>
      </c>
      <c r="J7" s="937"/>
      <c r="K7" s="937"/>
      <c r="L7" s="42" t="s">
        <v>141</v>
      </c>
      <c r="M7" s="41"/>
      <c r="N7" s="471"/>
      <c r="O7" s="472"/>
    </row>
    <row r="8" spans="1:15" ht="18" customHeight="1" x14ac:dyDescent="0.2">
      <c r="A8" s="936" t="s">
        <v>102</v>
      </c>
      <c r="B8" s="937"/>
      <c r="C8" s="938"/>
      <c r="D8" s="42" t="s">
        <v>105</v>
      </c>
      <c r="E8" s="42" t="s">
        <v>107</v>
      </c>
      <c r="F8" s="481" t="str">
        <f>IF(F6&lt;&gt;0,F6-F7,"")</f>
        <v/>
      </c>
      <c r="G8" s="481"/>
      <c r="H8" s="45"/>
      <c r="I8" s="936" t="s">
        <v>153</v>
      </c>
      <c r="J8" s="937"/>
      <c r="K8" s="937"/>
      <c r="L8" s="42" t="s">
        <v>142</v>
      </c>
      <c r="M8" s="41"/>
      <c r="N8" s="471"/>
      <c r="O8" s="472"/>
    </row>
    <row r="9" spans="1:15" ht="18" customHeight="1" x14ac:dyDescent="0.2">
      <c r="A9" s="936" t="s">
        <v>103</v>
      </c>
      <c r="B9" s="937"/>
      <c r="C9" s="938"/>
      <c r="D9" s="42" t="s">
        <v>106</v>
      </c>
      <c r="E9" s="42" t="s">
        <v>108</v>
      </c>
      <c r="F9" s="481" t="str">
        <f>IF(F8&lt;&gt;"",F6/F8,"")</f>
        <v/>
      </c>
      <c r="G9" s="481"/>
      <c r="H9" s="45"/>
      <c r="I9" s="936" t="s">
        <v>154</v>
      </c>
      <c r="J9" s="937"/>
      <c r="K9" s="937"/>
      <c r="L9" s="41"/>
      <c r="M9" s="42" t="s">
        <v>156</v>
      </c>
      <c r="N9" s="458" t="str">
        <f>IF(N7&lt;&gt;0,N7/(N7-N8),"")</f>
        <v/>
      </c>
      <c r="O9" s="459"/>
    </row>
    <row r="10" spans="1:15" ht="18" customHeight="1" thickBot="1" x14ac:dyDescent="0.25">
      <c r="A10" s="973" t="s">
        <v>109</v>
      </c>
      <c r="B10" s="974"/>
      <c r="C10" s="974"/>
      <c r="D10" s="974"/>
      <c r="E10" s="974"/>
      <c r="F10" s="974"/>
      <c r="G10" s="974"/>
      <c r="H10" s="45"/>
      <c r="I10" s="955" t="s">
        <v>155</v>
      </c>
      <c r="J10" s="956"/>
      <c r="K10" s="956"/>
      <c r="L10" s="52"/>
      <c r="M10" s="46" t="s">
        <v>157</v>
      </c>
      <c r="N10" s="455" t="str">
        <f>IF(N6&lt;&gt;0,(N7-N6)/N6*100,"")</f>
        <v/>
      </c>
      <c r="O10" s="456"/>
    </row>
    <row r="11" spans="1:15" ht="18" customHeight="1" thickTop="1" thickBot="1" x14ac:dyDescent="0.25">
      <c r="A11" s="936" t="s">
        <v>110</v>
      </c>
      <c r="B11" s="937"/>
      <c r="C11" s="938"/>
      <c r="D11" s="41"/>
      <c r="E11" s="41"/>
      <c r="F11" s="525"/>
      <c r="G11" s="525"/>
      <c r="H11" s="45"/>
      <c r="I11" s="43"/>
      <c r="J11" s="43"/>
      <c r="K11" s="43"/>
      <c r="L11" s="35"/>
      <c r="M11" s="35"/>
    </row>
    <row r="12" spans="1:15" ht="18" customHeight="1" thickTop="1" x14ac:dyDescent="0.2">
      <c r="A12" s="930" t="s">
        <v>111</v>
      </c>
      <c r="B12" s="931"/>
      <c r="C12" s="932"/>
      <c r="D12" s="44" t="s">
        <v>99</v>
      </c>
      <c r="E12" s="41"/>
      <c r="F12" s="522"/>
      <c r="G12" s="522"/>
      <c r="H12" s="45"/>
      <c r="I12" s="950" t="s">
        <v>168</v>
      </c>
      <c r="J12" s="951"/>
      <c r="K12" s="951"/>
      <c r="L12" s="951"/>
      <c r="M12" s="951"/>
      <c r="N12" s="952" t="s">
        <v>158</v>
      </c>
      <c r="O12" s="953"/>
    </row>
    <row r="13" spans="1:15" ht="18" customHeight="1" x14ac:dyDescent="0.2">
      <c r="A13" s="936" t="s">
        <v>112</v>
      </c>
      <c r="B13" s="937"/>
      <c r="C13" s="938"/>
      <c r="D13" s="42" t="s">
        <v>104</v>
      </c>
      <c r="E13" s="41"/>
      <c r="F13" s="525"/>
      <c r="G13" s="525"/>
      <c r="H13" s="45"/>
      <c r="I13" s="18" t="s">
        <v>18</v>
      </c>
      <c r="J13" s="221"/>
      <c r="K13" s="919"/>
      <c r="L13" s="919"/>
      <c r="M13" s="919"/>
      <c r="N13" s="39" t="s">
        <v>19</v>
      </c>
      <c r="O13" s="222"/>
    </row>
    <row r="14" spans="1:15" ht="3.75" customHeight="1" x14ac:dyDescent="0.2">
      <c r="A14" s="961" t="s">
        <v>113</v>
      </c>
      <c r="B14" s="587"/>
      <c r="C14" s="962"/>
      <c r="D14" s="921" t="s">
        <v>120</v>
      </c>
      <c r="E14" s="921" t="s">
        <v>107</v>
      </c>
      <c r="F14" s="924" t="str">
        <f>IF(F12&lt;&gt;0,F12-F13,"")</f>
        <v/>
      </c>
      <c r="G14" s="925"/>
      <c r="H14" s="45"/>
      <c r="I14" s="18"/>
      <c r="J14" s="36"/>
      <c r="K14" s="933"/>
      <c r="L14" s="933"/>
      <c r="M14" s="933"/>
      <c r="N14" s="39"/>
      <c r="O14" s="37"/>
    </row>
    <row r="15" spans="1:15" ht="18" customHeight="1" x14ac:dyDescent="0.2">
      <c r="A15" s="963"/>
      <c r="B15" s="933"/>
      <c r="C15" s="964"/>
      <c r="D15" s="989"/>
      <c r="E15" s="989"/>
      <c r="F15" s="978"/>
      <c r="G15" s="934"/>
      <c r="H15" s="45"/>
      <c r="I15" s="936" t="s">
        <v>159</v>
      </c>
      <c r="J15" s="937"/>
      <c r="K15" s="937"/>
      <c r="L15" s="42" t="s">
        <v>140</v>
      </c>
      <c r="M15" s="41"/>
      <c r="N15" s="991"/>
      <c r="O15" s="992"/>
    </row>
    <row r="16" spans="1:15" ht="18" customHeight="1" x14ac:dyDescent="0.2">
      <c r="A16" s="936" t="s">
        <v>114</v>
      </c>
      <c r="B16" s="937"/>
      <c r="C16" s="938"/>
      <c r="D16" s="42" t="s">
        <v>105</v>
      </c>
      <c r="E16" s="41"/>
      <c r="F16" s="525"/>
      <c r="G16" s="525"/>
      <c r="H16" s="45"/>
      <c r="I16" s="936" t="s">
        <v>160</v>
      </c>
      <c r="J16" s="937"/>
      <c r="K16" s="937"/>
      <c r="L16" s="42" t="s">
        <v>106</v>
      </c>
      <c r="M16" s="41"/>
      <c r="N16" s="991"/>
      <c r="O16" s="992"/>
    </row>
    <row r="17" spans="1:15" ht="18" customHeight="1" x14ac:dyDescent="0.2">
      <c r="A17" s="930" t="s">
        <v>103</v>
      </c>
      <c r="B17" s="931"/>
      <c r="C17" s="932"/>
      <c r="D17" s="44" t="s">
        <v>121</v>
      </c>
      <c r="E17" s="42" t="s">
        <v>126</v>
      </c>
      <c r="F17" s="933" t="str">
        <f>IF(F12&lt;&gt;0,F14/(498.6 - F16 + F12),"")</f>
        <v/>
      </c>
      <c r="G17" s="933"/>
      <c r="H17" s="45"/>
      <c r="I17" s="936" t="s">
        <v>161</v>
      </c>
      <c r="J17" s="937"/>
      <c r="K17" s="937"/>
      <c r="L17" s="42" t="s">
        <v>141</v>
      </c>
      <c r="M17" s="42" t="s">
        <v>165</v>
      </c>
      <c r="N17" s="458" t="str">
        <f>IF(N15&lt;&gt;0,N15+N16,"")</f>
        <v/>
      </c>
      <c r="O17" s="459"/>
    </row>
    <row r="18" spans="1:15" ht="18" customHeight="1" x14ac:dyDescent="0.2">
      <c r="A18" s="973" t="s">
        <v>115</v>
      </c>
      <c r="B18" s="974"/>
      <c r="C18" s="974"/>
      <c r="D18" s="974"/>
      <c r="E18" s="974"/>
      <c r="F18" s="974"/>
      <c r="G18" s="974"/>
      <c r="H18" s="45"/>
      <c r="I18" s="936" t="s">
        <v>162</v>
      </c>
      <c r="J18" s="937"/>
      <c r="K18" s="937"/>
      <c r="L18" s="42" t="s">
        <v>121</v>
      </c>
      <c r="M18" s="41"/>
      <c r="N18" s="991"/>
      <c r="O18" s="992"/>
    </row>
    <row r="19" spans="1:15" ht="18" customHeight="1" x14ac:dyDescent="0.2">
      <c r="A19" s="930" t="s">
        <v>116</v>
      </c>
      <c r="B19" s="931"/>
      <c r="C19" s="932"/>
      <c r="D19" s="44" t="s">
        <v>122</v>
      </c>
      <c r="E19" s="41"/>
      <c r="F19" s="522"/>
      <c r="G19" s="522"/>
      <c r="H19" s="45"/>
      <c r="I19" s="936" t="s">
        <v>163</v>
      </c>
      <c r="J19" s="937"/>
      <c r="K19" s="937"/>
      <c r="L19" s="42" t="s">
        <v>142</v>
      </c>
      <c r="M19" s="42" t="s">
        <v>166</v>
      </c>
      <c r="N19" s="458" t="str">
        <f>IF(N16&lt;&gt;0,N16-N18,"")</f>
        <v/>
      </c>
      <c r="O19" s="459"/>
    </row>
    <row r="20" spans="1:15" ht="18" customHeight="1" x14ac:dyDescent="0.2">
      <c r="A20" s="936" t="s">
        <v>117</v>
      </c>
      <c r="B20" s="937"/>
      <c r="C20" s="938"/>
      <c r="D20" s="42" t="s">
        <v>123</v>
      </c>
      <c r="E20" s="42" t="s">
        <v>127</v>
      </c>
      <c r="F20" s="481" t="str">
        <f>IF(F9&lt;&gt;"",(100-F19)*F9,"")</f>
        <v/>
      </c>
      <c r="G20" s="481"/>
      <c r="H20" s="45"/>
      <c r="I20" s="967" t="s">
        <v>164</v>
      </c>
      <c r="J20" s="968"/>
      <c r="K20" s="969"/>
      <c r="L20" s="976" t="s">
        <v>122</v>
      </c>
      <c r="M20" s="51" t="s">
        <v>167</v>
      </c>
      <c r="N20" s="985" t="str">
        <f>IF(N17&lt;&gt;"",(N15+N19)/N17*100,"")</f>
        <v/>
      </c>
      <c r="O20" s="986"/>
    </row>
    <row r="21" spans="1:15" ht="18" customHeight="1" thickBot="1" x14ac:dyDescent="0.25">
      <c r="A21" s="930" t="s">
        <v>118</v>
      </c>
      <c r="B21" s="931"/>
      <c r="C21" s="932"/>
      <c r="D21" s="44" t="s">
        <v>124</v>
      </c>
      <c r="E21" s="42" t="s">
        <v>128</v>
      </c>
      <c r="F21" s="933" t="str">
        <f>IF(F17&lt;&gt;"",F17*F19,"")</f>
        <v/>
      </c>
      <c r="G21" s="933"/>
      <c r="H21" s="45"/>
      <c r="I21" s="970"/>
      <c r="J21" s="971"/>
      <c r="K21" s="972"/>
      <c r="L21" s="977"/>
      <c r="M21" s="50" t="s">
        <v>141</v>
      </c>
      <c r="N21" s="987"/>
      <c r="O21" s="988"/>
    </row>
    <row r="22" spans="1:15" ht="18" customHeight="1" thickTop="1" thickBot="1" x14ac:dyDescent="0.25">
      <c r="A22" s="955" t="s">
        <v>119</v>
      </c>
      <c r="B22" s="956"/>
      <c r="C22" s="965"/>
      <c r="D22" s="46" t="s">
        <v>125</v>
      </c>
      <c r="E22" s="46" t="s">
        <v>129</v>
      </c>
      <c r="F22" s="468" t="str">
        <f>IF(F21&lt;&gt;"",F20+F21,"")</f>
        <v/>
      </c>
      <c r="G22" s="468"/>
      <c r="H22" s="45"/>
      <c r="I22" s="43"/>
      <c r="J22" s="43"/>
      <c r="K22" s="43"/>
      <c r="L22" s="35"/>
      <c r="M22" s="35"/>
    </row>
    <row r="23" spans="1:15" ht="18" customHeight="1" thickTop="1" thickBot="1" x14ac:dyDescent="0.25">
      <c r="A23" s="975"/>
      <c r="B23" s="975"/>
      <c r="C23" s="975"/>
      <c r="D23" s="47"/>
      <c r="E23" s="47"/>
      <c r="F23" s="586"/>
      <c r="G23" s="586"/>
      <c r="I23" s="950" t="s">
        <v>169</v>
      </c>
      <c r="J23" s="951"/>
      <c r="K23" s="951"/>
      <c r="L23" s="951"/>
      <c r="M23" s="951"/>
      <c r="N23" s="952" t="s">
        <v>170</v>
      </c>
      <c r="O23" s="953"/>
    </row>
    <row r="24" spans="1:15" ht="18" customHeight="1" thickTop="1" x14ac:dyDescent="0.2">
      <c r="A24" s="950" t="s">
        <v>130</v>
      </c>
      <c r="B24" s="951"/>
      <c r="C24" s="951"/>
      <c r="D24" s="951"/>
      <c r="E24" s="951"/>
      <c r="F24" s="952" t="s">
        <v>97</v>
      </c>
      <c r="G24" s="953"/>
      <c r="H24" s="45"/>
      <c r="I24" s="18" t="s">
        <v>18</v>
      </c>
      <c r="J24" s="221"/>
      <c r="K24" s="919"/>
      <c r="L24" s="919"/>
      <c r="M24" s="919"/>
      <c r="N24" s="39" t="s">
        <v>19</v>
      </c>
      <c r="O24" s="222"/>
    </row>
    <row r="25" spans="1:15" ht="3.75" customHeight="1" x14ac:dyDescent="0.2">
      <c r="A25" s="959"/>
      <c r="B25" s="960"/>
      <c r="C25" s="960"/>
      <c r="D25" s="960"/>
      <c r="E25" s="960"/>
      <c r="F25" s="738"/>
      <c r="G25" s="739"/>
      <c r="H25" s="45"/>
      <c r="I25" s="18"/>
      <c r="J25" s="36"/>
      <c r="K25" s="933"/>
      <c r="L25" s="933"/>
      <c r="M25" s="933"/>
      <c r="N25" s="39"/>
      <c r="O25" s="37"/>
    </row>
    <row r="26" spans="1:15" ht="18" customHeight="1" x14ac:dyDescent="0.2">
      <c r="A26" s="18" t="s">
        <v>18</v>
      </c>
      <c r="B26" s="221"/>
      <c r="C26" s="919"/>
      <c r="D26" s="919"/>
      <c r="E26" s="919"/>
      <c r="F26" s="39" t="s">
        <v>19</v>
      </c>
      <c r="G26" s="222"/>
      <c r="H26" s="45"/>
      <c r="I26" s="957" t="s">
        <v>171</v>
      </c>
      <c r="J26" s="958"/>
      <c r="K26" s="990"/>
      <c r="L26" s="921" t="s">
        <v>140</v>
      </c>
      <c r="M26" s="979"/>
      <c r="N26" s="981"/>
      <c r="O26" s="982"/>
    </row>
    <row r="27" spans="1:15" ht="3.75" customHeight="1" x14ac:dyDescent="0.2">
      <c r="A27" s="45"/>
      <c r="B27" s="39"/>
      <c r="C27" s="933"/>
      <c r="D27" s="933"/>
      <c r="E27" s="933"/>
      <c r="F27" s="39"/>
      <c r="G27" s="38"/>
      <c r="H27" s="45"/>
      <c r="I27" s="930"/>
      <c r="J27" s="931"/>
      <c r="K27" s="932"/>
      <c r="L27" s="989"/>
      <c r="M27" s="980"/>
      <c r="N27" s="983"/>
      <c r="O27" s="984"/>
    </row>
    <row r="28" spans="1:15" ht="18" customHeight="1" x14ac:dyDescent="0.2">
      <c r="A28" s="936" t="s">
        <v>131</v>
      </c>
      <c r="B28" s="937"/>
      <c r="C28" s="938"/>
      <c r="D28" s="42" t="s">
        <v>140</v>
      </c>
      <c r="E28" s="41"/>
      <c r="F28" s="966"/>
      <c r="G28" s="939"/>
      <c r="H28" s="45"/>
      <c r="I28" s="936" t="s">
        <v>172</v>
      </c>
      <c r="J28" s="937"/>
      <c r="K28" s="937"/>
      <c r="L28" s="42" t="s">
        <v>141</v>
      </c>
      <c r="M28" s="41"/>
      <c r="N28" s="471"/>
      <c r="O28" s="472"/>
    </row>
    <row r="29" spans="1:15" ht="18" customHeight="1" thickBot="1" x14ac:dyDescent="0.25">
      <c r="A29" s="936" t="s">
        <v>132</v>
      </c>
      <c r="B29" s="937"/>
      <c r="C29" s="938"/>
      <c r="D29" s="42" t="s">
        <v>141</v>
      </c>
      <c r="E29" s="41"/>
      <c r="F29" s="525"/>
      <c r="G29" s="939"/>
      <c r="H29" s="45"/>
      <c r="I29" s="957" t="s">
        <v>173</v>
      </c>
      <c r="J29" s="958"/>
      <c r="K29" s="958"/>
      <c r="L29" s="49" t="s">
        <v>142</v>
      </c>
      <c r="M29" s="49" t="s">
        <v>174</v>
      </c>
      <c r="N29" s="921" t="str">
        <f>IF(N26&lt;&gt;0,N28/N26*100,"")</f>
        <v/>
      </c>
      <c r="O29" s="928"/>
    </row>
    <row r="30" spans="1:15" ht="18" customHeight="1" thickTop="1" x14ac:dyDescent="0.2">
      <c r="A30" s="930" t="s">
        <v>133</v>
      </c>
      <c r="B30" s="931"/>
      <c r="C30" s="932"/>
      <c r="D30" s="44" t="s">
        <v>142</v>
      </c>
      <c r="E30" s="42" t="s">
        <v>144</v>
      </c>
      <c r="F30" s="933" t="str">
        <f>IF(F29&lt;&gt;0,(F29-F28)/F29*100,"")</f>
        <v/>
      </c>
      <c r="G30" s="934"/>
      <c r="H30" s="45"/>
      <c r="I30" s="929"/>
      <c r="J30" s="929"/>
      <c r="K30" s="929"/>
      <c r="L30" s="48"/>
      <c r="M30" s="48"/>
      <c r="N30" s="527"/>
      <c r="O30" s="527"/>
    </row>
    <row r="31" spans="1:15" ht="18" customHeight="1" x14ac:dyDescent="0.2">
      <c r="A31" s="936" t="s">
        <v>134</v>
      </c>
      <c r="B31" s="937"/>
      <c r="C31" s="938"/>
      <c r="D31" s="42" t="s">
        <v>106</v>
      </c>
      <c r="E31" s="41"/>
      <c r="F31" s="525"/>
      <c r="G31" s="939"/>
      <c r="H31" s="45"/>
    </row>
    <row r="32" spans="1:15" ht="18" customHeight="1" x14ac:dyDescent="0.2">
      <c r="A32" s="930" t="s">
        <v>135</v>
      </c>
      <c r="B32" s="931"/>
      <c r="C32" s="932"/>
      <c r="D32" s="44" t="s">
        <v>121</v>
      </c>
      <c r="E32" s="41"/>
      <c r="F32" s="522"/>
      <c r="G32" s="935"/>
      <c r="H32" s="45"/>
    </row>
    <row r="33" spans="1:8" ht="18" customHeight="1" x14ac:dyDescent="0.2">
      <c r="A33" s="930" t="s">
        <v>136</v>
      </c>
      <c r="B33" s="931"/>
      <c r="C33" s="932"/>
      <c r="D33" s="44" t="s">
        <v>122</v>
      </c>
      <c r="E33" s="42" t="s">
        <v>145</v>
      </c>
      <c r="F33" s="933" t="str">
        <f>IF((F31+F29-F32)&lt;&gt;0,F29/(F31+F29-F32),"")</f>
        <v/>
      </c>
      <c r="G33" s="934"/>
      <c r="H33" s="45"/>
    </row>
    <row r="34" spans="1:8" ht="18" customHeight="1" x14ac:dyDescent="0.2">
      <c r="A34" s="930" t="s">
        <v>137</v>
      </c>
      <c r="B34" s="931"/>
      <c r="C34" s="932"/>
      <c r="D34" s="44" t="s">
        <v>143</v>
      </c>
      <c r="E34" s="42" t="s">
        <v>146</v>
      </c>
      <c r="F34" s="933" t="str">
        <f>IF(F30&lt;&gt;"",100-F30,"")</f>
        <v/>
      </c>
      <c r="G34" s="934"/>
      <c r="H34" s="45"/>
    </row>
    <row r="35" spans="1:8" ht="18" customHeight="1" x14ac:dyDescent="0.2">
      <c r="A35" s="930" t="s">
        <v>138</v>
      </c>
      <c r="B35" s="931"/>
      <c r="C35" s="932"/>
      <c r="D35" s="44" t="s">
        <v>124</v>
      </c>
      <c r="E35" s="41"/>
      <c r="F35" s="522"/>
      <c r="G35" s="935"/>
      <c r="H35" s="45"/>
    </row>
    <row r="36" spans="1:8" ht="18" customHeight="1" x14ac:dyDescent="0.2">
      <c r="A36" s="920" t="s">
        <v>139</v>
      </c>
      <c r="B36" s="921"/>
      <c r="C36" s="921"/>
      <c r="D36" s="921" t="s">
        <v>123</v>
      </c>
      <c r="E36" s="51" t="s">
        <v>147</v>
      </c>
      <c r="F36" s="924" t="str">
        <f>IF(F35&lt;&gt;0,F34/((100/F33)-(F30/F35)),"")</f>
        <v/>
      </c>
      <c r="G36" s="925"/>
    </row>
    <row r="37" spans="1:8" ht="18" customHeight="1" thickBot="1" x14ac:dyDescent="0.25">
      <c r="A37" s="922"/>
      <c r="B37" s="923"/>
      <c r="C37" s="923"/>
      <c r="D37" s="923"/>
      <c r="E37" s="50" t="s">
        <v>148</v>
      </c>
      <c r="F37" s="926"/>
      <c r="G37" s="927"/>
    </row>
    <row r="38" spans="1:8" ht="13.5" thickTop="1" x14ac:dyDescent="0.2">
      <c r="A38" s="918"/>
      <c r="B38" s="918"/>
      <c r="C38" s="918"/>
      <c r="D38" s="40"/>
      <c r="E38" s="40"/>
      <c r="F38" s="919"/>
      <c r="G38" s="919"/>
    </row>
    <row r="39" spans="1:8" x14ac:dyDescent="0.2">
      <c r="A39" s="918"/>
      <c r="B39" s="918"/>
      <c r="C39" s="918"/>
      <c r="D39" s="40"/>
      <c r="E39" s="40"/>
      <c r="F39" s="919"/>
      <c r="G39" s="919"/>
    </row>
  </sheetData>
  <sheetProtection sheet="1" objects="1" scenarios="1" selectLockedCells="1"/>
  <mergeCells count="110">
    <mergeCell ref="N28:O28"/>
    <mergeCell ref="M26:M27"/>
    <mergeCell ref="N26:O27"/>
    <mergeCell ref="N20:O21"/>
    <mergeCell ref="N23:O23"/>
    <mergeCell ref="N12:O12"/>
    <mergeCell ref="D14:D15"/>
    <mergeCell ref="E14:E15"/>
    <mergeCell ref="F12:G12"/>
    <mergeCell ref="I26:K27"/>
    <mergeCell ref="L26:L27"/>
    <mergeCell ref="N19:O19"/>
    <mergeCell ref="F16:G16"/>
    <mergeCell ref="F17:G17"/>
    <mergeCell ref="N18:O18"/>
    <mergeCell ref="F13:G13"/>
    <mergeCell ref="K24:M25"/>
    <mergeCell ref="F23:G23"/>
    <mergeCell ref="N15:O15"/>
    <mergeCell ref="I16:K16"/>
    <mergeCell ref="N16:O16"/>
    <mergeCell ref="I17:K17"/>
    <mergeCell ref="N17:O17"/>
    <mergeCell ref="I15:K15"/>
    <mergeCell ref="A9:C9"/>
    <mergeCell ref="A11:C11"/>
    <mergeCell ref="A10:G10"/>
    <mergeCell ref="F11:G11"/>
    <mergeCell ref="F7:G7"/>
    <mergeCell ref="F8:G8"/>
    <mergeCell ref="A17:C17"/>
    <mergeCell ref="A21:C21"/>
    <mergeCell ref="F9:G9"/>
    <mergeCell ref="A19:C19"/>
    <mergeCell ref="F19:G19"/>
    <mergeCell ref="F14:G15"/>
    <mergeCell ref="A7:C7"/>
    <mergeCell ref="A8:C8"/>
    <mergeCell ref="I29:K29"/>
    <mergeCell ref="I28:K28"/>
    <mergeCell ref="A24:E25"/>
    <mergeCell ref="F24:G25"/>
    <mergeCell ref="C26:E27"/>
    <mergeCell ref="A12:C12"/>
    <mergeCell ref="A13:C13"/>
    <mergeCell ref="A16:C16"/>
    <mergeCell ref="A14:C15"/>
    <mergeCell ref="A22:C22"/>
    <mergeCell ref="F22:G22"/>
    <mergeCell ref="A28:C28"/>
    <mergeCell ref="F28:G28"/>
    <mergeCell ref="K13:M14"/>
    <mergeCell ref="I18:K18"/>
    <mergeCell ref="I19:K19"/>
    <mergeCell ref="I20:K21"/>
    <mergeCell ref="A18:G18"/>
    <mergeCell ref="I23:M23"/>
    <mergeCell ref="A20:C20"/>
    <mergeCell ref="F20:G20"/>
    <mergeCell ref="F21:G21"/>
    <mergeCell ref="A23:C23"/>
    <mergeCell ref="L20:L21"/>
    <mergeCell ref="N7:O7"/>
    <mergeCell ref="I8:K8"/>
    <mergeCell ref="N8:O8"/>
    <mergeCell ref="I9:K9"/>
    <mergeCell ref="N9:O9"/>
    <mergeCell ref="I10:K10"/>
    <mergeCell ref="N10:O10"/>
    <mergeCell ref="I12:M12"/>
    <mergeCell ref="I7:K7"/>
    <mergeCell ref="I1:O1"/>
    <mergeCell ref="I2:O2"/>
    <mergeCell ref="A4:G5"/>
    <mergeCell ref="I6:K6"/>
    <mergeCell ref="N6:O6"/>
    <mergeCell ref="A6:C6"/>
    <mergeCell ref="F6:G6"/>
    <mergeCell ref="A1:E1"/>
    <mergeCell ref="F1:G1"/>
    <mergeCell ref="J3:J4"/>
    <mergeCell ref="I3:I4"/>
    <mergeCell ref="N3:N4"/>
    <mergeCell ref="O3:O4"/>
    <mergeCell ref="K3:M5"/>
    <mergeCell ref="C2:E3"/>
    <mergeCell ref="A39:C39"/>
    <mergeCell ref="F39:G39"/>
    <mergeCell ref="A36:C37"/>
    <mergeCell ref="D36:D37"/>
    <mergeCell ref="F36:G37"/>
    <mergeCell ref="A38:C38"/>
    <mergeCell ref="F38:G38"/>
    <mergeCell ref="N29:O29"/>
    <mergeCell ref="I30:K30"/>
    <mergeCell ref="N30:O30"/>
    <mergeCell ref="A33:C33"/>
    <mergeCell ref="F33:G33"/>
    <mergeCell ref="A34:C34"/>
    <mergeCell ref="F34:G34"/>
    <mergeCell ref="A35:C35"/>
    <mergeCell ref="F35:G35"/>
    <mergeCell ref="A32:C32"/>
    <mergeCell ref="F32:G32"/>
    <mergeCell ref="A30:C30"/>
    <mergeCell ref="F30:G30"/>
    <mergeCell ref="A31:C31"/>
    <mergeCell ref="F31:G31"/>
    <mergeCell ref="A29:C29"/>
    <mergeCell ref="F29:G29"/>
  </mergeCells>
  <phoneticPr fontId="2" type="noConversion"/>
  <pageMargins left="0" right="0" top="0" bottom="0" header="0" footer="0"/>
  <pageSetup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4A355E9AB5DB46ABA33259182643D7" ma:contentTypeVersion="0" ma:contentTypeDescription="Create a new document." ma:contentTypeScope="" ma:versionID="6dcf9c8b3beb145f1da6742c59d946b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7533B9-E02B-4045-8DBC-F858FD042C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12A401-E642-46E2-9E24-E0AFE7F38C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7C6140E-1092-44D5-975A-A8B1389B7B9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7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Density &amp; Moisture</vt:lpstr>
      <vt:lpstr>D&amp;M Meth B Comp</vt:lpstr>
      <vt:lpstr>Density &amp; Moisture TR418</vt:lpstr>
      <vt:lpstr>418 Helper</vt:lpstr>
      <vt:lpstr>Soil Classification</vt:lpstr>
      <vt:lpstr>Aggregate Test Report</vt:lpstr>
      <vt:lpstr>App Spec Grav</vt:lpstr>
      <vt:lpstr>D&amp;M Method 415B</vt:lpstr>
      <vt:lpstr>D&amp;M Method 418</vt:lpstr>
      <vt:lpstr>Traingular Chart</vt:lpstr>
      <vt:lpstr>Compaction Report</vt:lpstr>
      <vt:lpstr>Gradation Curve (Large)</vt:lpstr>
      <vt:lpstr>Gradation Curve (Small)</vt:lpstr>
      <vt:lpstr>'Aggregate Test Report'!Print_Area</vt:lpstr>
      <vt:lpstr>'App Spec Grav'!Print_Area</vt:lpstr>
      <vt:lpstr>'Density &amp; Moisture'!Print_Area</vt:lpstr>
      <vt:lpstr>'Density &amp; Moisture TR418'!Print_Area</vt:lpstr>
      <vt:lpstr>'Soil Classification'!Print_Area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Icenogle</dc:creator>
  <cp:lastModifiedBy>Patrick Icenogle</cp:lastModifiedBy>
  <cp:lastPrinted>2020-01-07T18:55:34Z</cp:lastPrinted>
  <dcterms:created xsi:type="dcterms:W3CDTF">1996-10-14T23:33:28Z</dcterms:created>
  <dcterms:modified xsi:type="dcterms:W3CDTF">2022-04-27T15:20:02Z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0x010100614A355E9AB5DB46ABA33259182643D7</vt:lpwstr>
  </property>
</Properties>
</file>